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IRI\Desktop\"/>
    </mc:Choice>
  </mc:AlternateContent>
  <bookViews>
    <workbookView xWindow="0" yWindow="0" windowWidth="28800" windowHeight="12435"/>
  </bookViews>
  <sheets>
    <sheet name="AREAS-CLIENT VIEW ( Combined)" sheetId="7" r:id="rId1"/>
    <sheet name="SHEET 01 (2)" sheetId="6" r:id="rId2"/>
  </sheets>
  <externalReferences>
    <externalReference r:id="rId3"/>
    <externalReference r:id="rId4"/>
  </externalReferences>
  <calcPr calcId="152511"/>
</workbook>
</file>

<file path=xl/calcChain.xml><?xml version="1.0" encoding="utf-8"?>
<calcChain xmlns="http://schemas.openxmlformats.org/spreadsheetml/2006/main">
  <c r="P18" i="7" l="1"/>
  <c r="P19" i="7"/>
  <c r="P20" i="7"/>
  <c r="P21" i="7"/>
  <c r="R21" i="7" s="1"/>
  <c r="P22" i="7"/>
  <c r="R22" i="7" s="1"/>
  <c r="P17" i="7"/>
  <c r="P9" i="7"/>
  <c r="P10" i="7"/>
  <c r="P11" i="7"/>
  <c r="R11" i="7" s="1"/>
  <c r="P12" i="7"/>
  <c r="P13" i="7"/>
  <c r="P14" i="7"/>
  <c r="R14" i="7" s="1"/>
  <c r="P15" i="7"/>
  <c r="R15" i="7" s="1"/>
  <c r="P16" i="7"/>
  <c r="R16" i="7" s="1"/>
  <c r="R18" i="7"/>
  <c r="R20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R10" i="7"/>
  <c r="R12" i="7"/>
  <c r="R13" i="7"/>
  <c r="R17" i="7"/>
  <c r="R19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N11" i="7"/>
  <c r="N12" i="7"/>
  <c r="N13" i="7"/>
  <c r="N14" i="7"/>
  <c r="N15" i="7"/>
  <c r="N16" i="7"/>
  <c r="N17" i="7"/>
  <c r="N18" i="7"/>
  <c r="N19" i="7"/>
  <c r="N20" i="7"/>
  <c r="N21" i="7"/>
  <c r="N22" i="7"/>
  <c r="N9" i="7"/>
  <c r="N10" i="7"/>
  <c r="N8" i="7"/>
  <c r="L11" i="7"/>
  <c r="L12" i="7"/>
  <c r="L13" i="7"/>
  <c r="L14" i="7"/>
  <c r="L15" i="7"/>
  <c r="L16" i="7"/>
  <c r="L17" i="7"/>
  <c r="L18" i="7"/>
  <c r="L19" i="7"/>
  <c r="L20" i="7"/>
  <c r="L21" i="7"/>
  <c r="L22" i="7"/>
  <c r="L9" i="7"/>
  <c r="L10" i="7"/>
  <c r="L8" i="7"/>
  <c r="J22" i="7"/>
  <c r="J19" i="7"/>
  <c r="J20" i="7"/>
  <c r="J21" i="7"/>
  <c r="J17" i="7"/>
  <c r="J18" i="7"/>
  <c r="J14" i="7"/>
  <c r="J15" i="7"/>
  <c r="J16" i="7"/>
  <c r="J11" i="7"/>
  <c r="J12" i="7"/>
  <c r="J13" i="7"/>
  <c r="J9" i="7"/>
  <c r="J10" i="7"/>
  <c r="J8" i="7"/>
  <c r="G9" i="7"/>
  <c r="G10" i="7"/>
  <c r="G11" i="7"/>
  <c r="G12" i="7"/>
  <c r="G13" i="7"/>
  <c r="G14" i="7"/>
  <c r="G15" i="7"/>
  <c r="G16" i="7"/>
  <c r="G17" i="7"/>
  <c r="G18" i="7"/>
  <c r="G19" i="7"/>
  <c r="G20" i="7"/>
  <c r="H20" i="7" s="1"/>
  <c r="G21" i="7"/>
  <c r="G22" i="7"/>
  <c r="G8" i="7"/>
  <c r="A8" i="7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C33" i="7"/>
  <c r="B33" i="7"/>
  <c r="C32" i="7"/>
  <c r="C31" i="7"/>
  <c r="C30" i="7"/>
  <c r="M29" i="7"/>
  <c r="C29" i="7"/>
  <c r="M28" i="7"/>
  <c r="C28" i="7"/>
  <c r="M27" i="7"/>
  <c r="C27" i="7"/>
  <c r="W24" i="7"/>
  <c r="V24" i="7"/>
  <c r="U22" i="7"/>
  <c r="S22" i="7"/>
  <c r="I22" i="7"/>
  <c r="H22" i="7"/>
  <c r="U20" i="7"/>
  <c r="S20" i="7"/>
  <c r="Q20" i="7"/>
  <c r="M20" i="7"/>
  <c r="K20" i="7"/>
  <c r="U19" i="7"/>
  <c r="S19" i="7"/>
  <c r="H19" i="7"/>
  <c r="U17" i="7"/>
  <c r="S17" i="7"/>
  <c r="H17" i="7"/>
  <c r="U16" i="7"/>
  <c r="S16" i="7"/>
  <c r="H16" i="7"/>
  <c r="U15" i="7"/>
  <c r="S15" i="7"/>
  <c r="H15" i="7"/>
  <c r="U14" i="7"/>
  <c r="S14" i="7"/>
  <c r="H14" i="7"/>
  <c r="U13" i="7"/>
  <c r="S13" i="7"/>
  <c r="H13" i="7"/>
  <c r="U12" i="7"/>
  <c r="S12" i="7"/>
  <c r="H12" i="7"/>
  <c r="U11" i="7"/>
  <c r="S11" i="7"/>
  <c r="H11" i="7"/>
  <c r="X10" i="7"/>
  <c r="X22" i="7" s="1"/>
  <c r="U10" i="7"/>
  <c r="S10" i="7"/>
  <c r="Q28" i="7" s="1"/>
  <c r="M10" i="7"/>
  <c r="M16" i="7" s="1"/>
  <c r="K10" i="7"/>
  <c r="K16" i="7" s="1"/>
  <c r="H10" i="7"/>
  <c r="F10" i="7"/>
  <c r="F13" i="7" s="1"/>
  <c r="X9" i="7"/>
  <c r="X12" i="7" s="1"/>
  <c r="U9" i="7"/>
  <c r="S9" i="7"/>
  <c r="Q29" i="7" s="1"/>
  <c r="M9" i="7"/>
  <c r="M15" i="7" s="1"/>
  <c r="K9" i="7"/>
  <c r="K12" i="7" s="1"/>
  <c r="H9" i="7"/>
  <c r="F9" i="7"/>
  <c r="F15" i="7" s="1"/>
  <c r="X8" i="7"/>
  <c r="X17" i="7" s="1"/>
  <c r="U8" i="7"/>
  <c r="T8" i="7"/>
  <c r="S8" i="7"/>
  <c r="P8" i="7"/>
  <c r="M8" i="7"/>
  <c r="M17" i="7" s="1"/>
  <c r="K8" i="7"/>
  <c r="K17" i="7" s="1"/>
  <c r="H8" i="7"/>
  <c r="F8" i="7"/>
  <c r="F11" i="7" s="1"/>
  <c r="I53" i="6"/>
  <c r="H53" i="6"/>
  <c r="I49" i="6"/>
  <c r="J45" i="6"/>
  <c r="I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AB26" i="6"/>
  <c r="X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AF22" i="6"/>
  <c r="AE22" i="6"/>
  <c r="AD22" i="6"/>
  <c r="AB22" i="6"/>
  <c r="AF21" i="6"/>
  <c r="AE21" i="6"/>
  <c r="AD21" i="6"/>
  <c r="AB21" i="6"/>
  <c r="Y21" i="6"/>
  <c r="X21" i="6"/>
  <c r="W21" i="6"/>
  <c r="V21" i="6"/>
  <c r="U21" i="6"/>
  <c r="S21" i="6"/>
  <c r="R21" i="6"/>
  <c r="Q21" i="6"/>
  <c r="P21" i="6"/>
  <c r="O21" i="6"/>
  <c r="N21" i="6"/>
  <c r="M21" i="6"/>
  <c r="L21" i="6"/>
  <c r="J21" i="6"/>
  <c r="H21" i="6"/>
  <c r="AF20" i="6"/>
  <c r="AE20" i="6"/>
  <c r="AD20" i="6"/>
  <c r="AB20" i="6"/>
  <c r="Y20" i="6"/>
  <c r="X20" i="6"/>
  <c r="W20" i="6"/>
  <c r="V20" i="6"/>
  <c r="U20" i="6"/>
  <c r="S20" i="6"/>
  <c r="R20" i="6"/>
  <c r="Q20" i="6"/>
  <c r="P20" i="6"/>
  <c r="O20" i="6"/>
  <c r="N20" i="6"/>
  <c r="M20" i="6"/>
  <c r="L20" i="6"/>
  <c r="J20" i="6"/>
  <c r="H20" i="6"/>
  <c r="AF19" i="6"/>
  <c r="AE19" i="6"/>
  <c r="AD19" i="6"/>
  <c r="AB19" i="6"/>
  <c r="Y19" i="6"/>
  <c r="X19" i="6"/>
  <c r="W19" i="6"/>
  <c r="V19" i="6"/>
  <c r="U19" i="6"/>
  <c r="S19" i="6"/>
  <c r="R19" i="6"/>
  <c r="Q19" i="6"/>
  <c r="P19" i="6"/>
  <c r="O19" i="6"/>
  <c r="N19" i="6"/>
  <c r="M19" i="6"/>
  <c r="L19" i="6"/>
  <c r="J19" i="6"/>
  <c r="H19" i="6"/>
  <c r="AF18" i="6"/>
  <c r="AE18" i="6"/>
  <c r="AD18" i="6"/>
  <c r="AB18" i="6"/>
  <c r="Y18" i="6"/>
  <c r="X18" i="6"/>
  <c r="W18" i="6"/>
  <c r="V18" i="6"/>
  <c r="U18" i="6"/>
  <c r="S18" i="6"/>
  <c r="R18" i="6"/>
  <c r="Q18" i="6"/>
  <c r="P18" i="6"/>
  <c r="O18" i="6"/>
  <c r="N18" i="6"/>
  <c r="M18" i="6"/>
  <c r="L18" i="6"/>
  <c r="J18" i="6"/>
  <c r="H18" i="6"/>
  <c r="AF17" i="6"/>
  <c r="AE17" i="6"/>
  <c r="AD17" i="6"/>
  <c r="AB17" i="6"/>
  <c r="Y17" i="6"/>
  <c r="X17" i="6"/>
  <c r="W17" i="6"/>
  <c r="V17" i="6"/>
  <c r="U17" i="6"/>
  <c r="S17" i="6"/>
  <c r="R17" i="6"/>
  <c r="Q17" i="6"/>
  <c r="P17" i="6"/>
  <c r="O17" i="6"/>
  <c r="N17" i="6"/>
  <c r="M17" i="6"/>
  <c r="L17" i="6"/>
  <c r="J17" i="6"/>
  <c r="H17" i="6"/>
  <c r="AF16" i="6"/>
  <c r="AE16" i="6"/>
  <c r="AD16" i="6"/>
  <c r="AB16" i="6"/>
  <c r="Y16" i="6"/>
  <c r="X16" i="6"/>
  <c r="W16" i="6"/>
  <c r="V16" i="6"/>
  <c r="U16" i="6"/>
  <c r="S16" i="6"/>
  <c r="R16" i="6"/>
  <c r="Q16" i="6"/>
  <c r="P16" i="6"/>
  <c r="O16" i="6"/>
  <c r="N16" i="6"/>
  <c r="M16" i="6"/>
  <c r="L16" i="6"/>
  <c r="J16" i="6"/>
  <c r="H16" i="6"/>
  <c r="AF15" i="6"/>
  <c r="AE15" i="6"/>
  <c r="AD15" i="6"/>
  <c r="AB15" i="6"/>
  <c r="Y15" i="6"/>
  <c r="X15" i="6"/>
  <c r="W15" i="6"/>
  <c r="V15" i="6"/>
  <c r="U15" i="6"/>
  <c r="S15" i="6"/>
  <c r="R15" i="6"/>
  <c r="Q15" i="6"/>
  <c r="P15" i="6"/>
  <c r="O15" i="6"/>
  <c r="N15" i="6"/>
  <c r="M15" i="6"/>
  <c r="L15" i="6"/>
  <c r="J15" i="6"/>
  <c r="H15" i="6"/>
  <c r="AF14" i="6"/>
  <c r="AE14" i="6"/>
  <c r="AD14" i="6"/>
  <c r="AB14" i="6"/>
  <c r="Y14" i="6"/>
  <c r="X14" i="6"/>
  <c r="W14" i="6"/>
  <c r="V14" i="6"/>
  <c r="U14" i="6"/>
  <c r="S14" i="6"/>
  <c r="R14" i="6"/>
  <c r="Q14" i="6"/>
  <c r="P14" i="6"/>
  <c r="O14" i="6"/>
  <c r="N14" i="6"/>
  <c r="M14" i="6"/>
  <c r="L14" i="6"/>
  <c r="J14" i="6"/>
  <c r="H14" i="6"/>
  <c r="AF13" i="6"/>
  <c r="AE13" i="6"/>
  <c r="AD13" i="6"/>
  <c r="AB13" i="6"/>
  <c r="Y13" i="6"/>
  <c r="X13" i="6"/>
  <c r="W13" i="6"/>
  <c r="V13" i="6"/>
  <c r="U13" i="6"/>
  <c r="S13" i="6"/>
  <c r="R13" i="6"/>
  <c r="Q13" i="6"/>
  <c r="P13" i="6"/>
  <c r="O13" i="6"/>
  <c r="N13" i="6"/>
  <c r="M13" i="6"/>
  <c r="L13" i="6"/>
  <c r="J13" i="6"/>
  <c r="H13" i="6"/>
  <c r="AF12" i="6"/>
  <c r="AE12" i="6"/>
  <c r="AD12" i="6"/>
  <c r="AB12" i="6"/>
  <c r="Y12" i="6"/>
  <c r="X12" i="6"/>
  <c r="W12" i="6"/>
  <c r="V12" i="6"/>
  <c r="U12" i="6"/>
  <c r="S12" i="6"/>
  <c r="R12" i="6"/>
  <c r="Q12" i="6"/>
  <c r="P12" i="6"/>
  <c r="O12" i="6"/>
  <c r="N12" i="6"/>
  <c r="M12" i="6"/>
  <c r="L12" i="6"/>
  <c r="J12" i="6"/>
  <c r="H12" i="6"/>
  <c r="AF11" i="6"/>
  <c r="AE11" i="6"/>
  <c r="AD11" i="6"/>
  <c r="AB11" i="6"/>
  <c r="Y11" i="6"/>
  <c r="X11" i="6"/>
  <c r="W11" i="6"/>
  <c r="V11" i="6"/>
  <c r="U11" i="6"/>
  <c r="S11" i="6"/>
  <c r="R11" i="6"/>
  <c r="Q11" i="6"/>
  <c r="P11" i="6"/>
  <c r="O11" i="6"/>
  <c r="N11" i="6"/>
  <c r="M11" i="6"/>
  <c r="L11" i="6"/>
  <c r="J11" i="6"/>
  <c r="H11" i="6"/>
  <c r="AF10" i="6"/>
  <c r="AE10" i="6"/>
  <c r="AD10" i="6"/>
  <c r="AB10" i="6"/>
  <c r="Y10" i="6"/>
  <c r="X10" i="6"/>
  <c r="W10" i="6"/>
  <c r="V10" i="6"/>
  <c r="U10" i="6"/>
  <c r="S10" i="6"/>
  <c r="R10" i="6"/>
  <c r="Q10" i="6"/>
  <c r="P10" i="6"/>
  <c r="O10" i="6"/>
  <c r="N10" i="6"/>
  <c r="M10" i="6"/>
  <c r="L10" i="6"/>
  <c r="J10" i="6"/>
  <c r="H10" i="6"/>
  <c r="AF9" i="6"/>
  <c r="AE9" i="6"/>
  <c r="AD9" i="6"/>
  <c r="AB9" i="6"/>
  <c r="Y9" i="6"/>
  <c r="X9" i="6"/>
  <c r="W9" i="6"/>
  <c r="V9" i="6"/>
  <c r="U9" i="6"/>
  <c r="S9" i="6"/>
  <c r="R9" i="6"/>
  <c r="Q9" i="6"/>
  <c r="P9" i="6"/>
  <c r="O9" i="6"/>
  <c r="N9" i="6"/>
  <c r="M9" i="6"/>
  <c r="L9" i="6"/>
  <c r="J9" i="6"/>
  <c r="H9" i="6"/>
  <c r="AF8" i="6"/>
  <c r="AE8" i="6"/>
  <c r="AD8" i="6"/>
  <c r="AB8" i="6"/>
  <c r="Y8" i="6"/>
  <c r="X8" i="6"/>
  <c r="W8" i="6"/>
  <c r="V8" i="6"/>
  <c r="U8" i="6"/>
  <c r="S8" i="6"/>
  <c r="R8" i="6"/>
  <c r="Q8" i="6"/>
  <c r="P8" i="6"/>
  <c r="O8" i="6"/>
  <c r="N8" i="6"/>
  <c r="M8" i="6"/>
  <c r="L8" i="6"/>
  <c r="J8" i="6"/>
  <c r="H8" i="6"/>
  <c r="Y7" i="6"/>
  <c r="X7" i="6"/>
  <c r="W7" i="6"/>
  <c r="V7" i="6"/>
  <c r="U7" i="6"/>
  <c r="S7" i="6"/>
  <c r="R7" i="6"/>
  <c r="Q7" i="6"/>
  <c r="P7" i="6"/>
  <c r="O7" i="6"/>
  <c r="N7" i="6"/>
  <c r="M7" i="6"/>
  <c r="L7" i="6"/>
  <c r="J7" i="6"/>
  <c r="H7" i="6"/>
  <c r="X16" i="7" l="1"/>
  <c r="F16" i="7"/>
  <c r="X19" i="7"/>
  <c r="F19" i="7"/>
  <c r="X15" i="7"/>
  <c r="X13" i="7"/>
  <c r="M12" i="7"/>
  <c r="C34" i="7"/>
  <c r="S24" i="7"/>
  <c r="U24" i="7"/>
  <c r="K15" i="7"/>
  <c r="O8" i="7"/>
  <c r="R8" i="7" s="1"/>
  <c r="M14" i="7"/>
  <c r="M11" i="7"/>
  <c r="T25" i="7"/>
  <c r="R9" i="7"/>
  <c r="K13" i="7"/>
  <c r="Q27" i="7"/>
  <c r="Q30" i="7" s="1"/>
  <c r="X11" i="7"/>
  <c r="F14" i="7"/>
  <c r="K19" i="7"/>
  <c r="K22" i="7" s="1"/>
  <c r="K11" i="7"/>
  <c r="M13" i="7"/>
  <c r="F20" i="7"/>
  <c r="F12" i="7"/>
  <c r="M19" i="7"/>
  <c r="M22" i="7" s="1"/>
  <c r="X14" i="7"/>
  <c r="F17" i="7"/>
  <c r="K14" i="7"/>
  <c r="X20" i="7"/>
  <c r="F22" i="7"/>
  <c r="F24" i="7" l="1"/>
  <c r="C36" i="7" s="1"/>
  <c r="Y10" i="7" s="1"/>
  <c r="Y8" i="7"/>
  <c r="Y9" i="7"/>
  <c r="Y11" i="7" l="1"/>
  <c r="Q8" i="7"/>
  <c r="Q10" i="7"/>
  <c r="Y13" i="7"/>
  <c r="Q9" i="7"/>
  <c r="Y12" i="7"/>
  <c r="Y16" i="7" l="1"/>
  <c r="Q13" i="7"/>
  <c r="Y14" i="7"/>
  <c r="Q11" i="7"/>
  <c r="Y15" i="7"/>
  <c r="Q15" i="7" s="1"/>
  <c r="Q12" i="7"/>
  <c r="Y17" i="7" l="1"/>
  <c r="Q14" i="7"/>
  <c r="Q16" i="7"/>
  <c r="Y19" i="7"/>
  <c r="Y20" i="7" l="1"/>
  <c r="Q17" i="7"/>
  <c r="Y22" i="7"/>
  <c r="Q19" i="7"/>
  <c r="Q22" i="7" s="1"/>
  <c r="Y24" i="7" l="1"/>
</calcChain>
</file>

<file path=xl/sharedStrings.xml><?xml version="1.0" encoding="utf-8"?>
<sst xmlns="http://schemas.openxmlformats.org/spreadsheetml/2006/main" count="213" uniqueCount="144">
  <si>
    <t>AMARA ANEJA - T NAGAR, CHENNAI</t>
  </si>
  <si>
    <t>RERA AREA STATEMENT</t>
  </si>
  <si>
    <t>Super Built-up</t>
  </si>
  <si>
    <t>S.No.</t>
  </si>
  <si>
    <t>Floor</t>
  </si>
  <si>
    <t>Flat No</t>
  </si>
  <si>
    <t>Type</t>
  </si>
  <si>
    <r>
      <rPr>
        <b/>
        <sz val="12"/>
        <color theme="1"/>
        <rFont val="Calibri"/>
        <charset val="134"/>
        <scheme val="minor"/>
      </rPr>
      <t xml:space="preserve">Carpet Area 
</t>
    </r>
    <r>
      <rPr>
        <sz val="12"/>
        <color theme="1"/>
        <rFont val="Calibri"/>
        <charset val="134"/>
        <scheme val="minor"/>
      </rPr>
      <t>(excluding internal wall areas)</t>
    </r>
    <r>
      <rPr>
        <b/>
        <sz val="12"/>
        <color theme="1"/>
        <rFont val="Calibri"/>
        <charset val="134"/>
        <scheme val="minor"/>
      </rPr>
      <t xml:space="preserve">
(sq.m.)</t>
    </r>
  </si>
  <si>
    <t>RERA CARPET AREA</t>
  </si>
  <si>
    <t>Exclusive Balcony</t>
  </si>
  <si>
    <t>Exclusive Verandah / Utility / Service / Open terrace / portico</t>
  </si>
  <si>
    <t>Total Proportionate
Common Area</t>
  </si>
  <si>
    <t>Total SALE AREA</t>
  </si>
  <si>
    <t>Unit area distrubition</t>
  </si>
  <si>
    <t>UDS Land Area</t>
  </si>
  <si>
    <t>Car Parking</t>
  </si>
  <si>
    <t>PLINTH AREA</t>
  </si>
  <si>
    <t>Actual Carpet Area</t>
  </si>
  <si>
    <t>Carpet to SA %</t>
  </si>
  <si>
    <t>With External Walls</t>
  </si>
  <si>
    <t>External Wall to SA %</t>
  </si>
  <si>
    <t>External Wall Area</t>
  </si>
  <si>
    <t>Unit Common Area</t>
  </si>
  <si>
    <t>Ducts</t>
  </si>
  <si>
    <t>Common Area</t>
  </si>
  <si>
    <t>SQM</t>
  </si>
  <si>
    <t>SQFT</t>
  </si>
  <si>
    <t>%</t>
  </si>
  <si>
    <t>FIRST</t>
  </si>
  <si>
    <r>
      <rPr>
        <u/>
        <sz val="12"/>
        <color theme="1"/>
        <rFont val="Calibri"/>
        <charset val="134"/>
        <scheme val="minor"/>
      </rPr>
      <t>4</t>
    </r>
    <r>
      <rPr>
        <sz val="12"/>
        <color theme="1"/>
        <rFont val="Calibri"/>
        <charset val="134"/>
        <scheme val="minor"/>
      </rPr>
      <t>BHK</t>
    </r>
  </si>
  <si>
    <t>(F)</t>
  </si>
  <si>
    <t>(H)</t>
  </si>
  <si>
    <t>(I)</t>
  </si>
  <si>
    <t>SECOND</t>
  </si>
  <si>
    <t>THIRD</t>
  </si>
  <si>
    <t>FOURTH</t>
  </si>
  <si>
    <t>3BHK</t>
  </si>
  <si>
    <t>2BHK</t>
  </si>
  <si>
    <t>FIFTH</t>
  </si>
  <si>
    <t>TOTAL</t>
  </si>
  <si>
    <t>COMMON AREA</t>
  </si>
  <si>
    <t>S.NO</t>
  </si>
  <si>
    <t>PARTICULARS</t>
  </si>
  <si>
    <t>First floor Lobby /core</t>
  </si>
  <si>
    <t>First floor common shafts</t>
  </si>
  <si>
    <t>Second floor Lobby /core</t>
  </si>
  <si>
    <t>Second  floor common shafts</t>
  </si>
  <si>
    <t>Third floor Lobby /core</t>
  </si>
  <si>
    <t>Third floor common shafts</t>
  </si>
  <si>
    <t>Fourth floor Lobby /core</t>
  </si>
  <si>
    <t>Fourth floor common shafts</t>
  </si>
  <si>
    <t>Fifth floor Lobby /core</t>
  </si>
  <si>
    <t>Fifth floor common shafts</t>
  </si>
  <si>
    <t>Stilt Floor lobby / core/sump</t>
  </si>
  <si>
    <t>Terrace Floor Lobby / core</t>
  </si>
  <si>
    <t>OHT/LMR</t>
  </si>
  <si>
    <t>Terrace floor toilet / store / pantry / gym</t>
  </si>
  <si>
    <t>SITE AREA - DETAILS</t>
  </si>
  <si>
    <t>SQM / M</t>
  </si>
  <si>
    <t>SFT / FT</t>
  </si>
  <si>
    <t>SITE AREA</t>
  </si>
  <si>
    <t>BUILDING HEIGHT</t>
  </si>
  <si>
    <t>18.45 M</t>
  </si>
  <si>
    <t>BUILDING SET BACK</t>
  </si>
  <si>
    <t>3.0 M</t>
  </si>
  <si>
    <t>ALLOWED FAR</t>
  </si>
  <si>
    <t>ALLOWED FAR AREA</t>
  </si>
  <si>
    <t>NO. OF UNITS</t>
  </si>
  <si>
    <t>CAR PARKING NOS</t>
  </si>
  <si>
    <t>Plot No.8,New Door No.23, Old Door No.12, Chevalier Shivaji Ganesan Road (South Boag Road), T.Nagar, Chennai600017, comprised in Old S.No.122/2, 123/1, 123/2, 123/3, 123/4 &amp; 124/2 (Pt) (Document) and T.S.No.6553/1 &amp;6553/2, Block No.141 of  T.Nagar Village WITHIN THE LIMITS OF GREATER CHENNAI CORPORATION.</t>
  </si>
  <si>
    <t>Block</t>
  </si>
  <si>
    <t>Plinth Area (sq.ft.)</t>
  </si>
  <si>
    <t>RERA Carpet Area
(without external walls) (sq.ft.)</t>
  </si>
  <si>
    <t>Carpet Area
(without internal &amp; external walls) (sq.ft.)</t>
  </si>
  <si>
    <t>(b) Exclusive Balcony (sq.m.)</t>
  </si>
  <si>
    <t>Exclusive Balcony (sq.ft.)</t>
  </si>
  <si>
    <t>( c ) Exclusive Verandah / Utility / Service / Open terrace / portico (sq.m)</t>
  </si>
  <si>
    <t>Exclusive Verandah / Utility / Service / Open terrace / portico (sq.ft.)</t>
  </si>
  <si>
    <t xml:space="preserve">(d ) </t>
  </si>
  <si>
    <t>e = ( a+b+c+d )</t>
  </si>
  <si>
    <t>(F )</t>
  </si>
  <si>
    <t>Total Proportionate Common Area (sq.ft.)</t>
  </si>
  <si>
    <t>Total saleable  Area  (sq.ft.)</t>
  </si>
  <si>
    <t>UDS Land Area (sq.ft.)</t>
  </si>
  <si>
    <t>External Wall Area
(sq.ft)</t>
  </si>
  <si>
    <t>Common Area
(sq.ft)</t>
  </si>
  <si>
    <t>Area of external walls  ( sq.m )</t>
  </si>
  <si>
    <t>Floor Area of the apartment  (sq.m)</t>
  </si>
  <si>
    <t xml:space="preserve">Open </t>
  </si>
  <si>
    <t>Covered</t>
  </si>
  <si>
    <t>(A)</t>
  </si>
  <si>
    <t>(B)</t>
  </si>
  <si>
    <t>(C)</t>
  </si>
  <si>
    <t>(F+H)=D</t>
  </si>
  <si>
    <t>(A+B+C+D)=E</t>
  </si>
  <si>
    <t>SINGLE  BLOCK</t>
  </si>
  <si>
    <t>First</t>
  </si>
  <si>
    <t>101</t>
  </si>
  <si>
    <t>4 BHK</t>
  </si>
  <si>
    <t>102</t>
  </si>
  <si>
    <t>103</t>
  </si>
  <si>
    <t>3 BHK</t>
  </si>
  <si>
    <t>Second</t>
  </si>
  <si>
    <t>201</t>
  </si>
  <si>
    <t>202</t>
  </si>
  <si>
    <t>203</t>
  </si>
  <si>
    <t>Third</t>
  </si>
  <si>
    <t>301</t>
  </si>
  <si>
    <t>302</t>
  </si>
  <si>
    <t>303</t>
  </si>
  <si>
    <t>Fourth</t>
  </si>
  <si>
    <t>403</t>
  </si>
  <si>
    <t>Fifth</t>
  </si>
  <si>
    <t>503</t>
  </si>
  <si>
    <t>COMMON AREA (sq.ft)</t>
  </si>
  <si>
    <t>Without Common Area
(sq.ft)</t>
  </si>
  <si>
    <t>Total Area
(with common area) (sq.ft.)</t>
  </si>
  <si>
    <t>Typical Floor Lobby(5 floors)</t>
  </si>
  <si>
    <t xml:space="preserve">Unit - A </t>
  </si>
  <si>
    <t>Stilt Floor lobby and security</t>
  </si>
  <si>
    <t xml:space="preserve">Unit - B  </t>
  </si>
  <si>
    <t>Terrace Floor Lobby</t>
  </si>
  <si>
    <t>Unit - C</t>
  </si>
  <si>
    <t>Machine room&amp;water tank</t>
  </si>
  <si>
    <t>Total</t>
  </si>
  <si>
    <t>Gym</t>
  </si>
  <si>
    <t>SUMP + GAS BANK</t>
  </si>
  <si>
    <t>TOTAL (sq.ft)</t>
  </si>
  <si>
    <t>401</t>
  </si>
  <si>
    <t>402</t>
  </si>
  <si>
    <t>501</t>
  </si>
  <si>
    <t>502</t>
  </si>
  <si>
    <t>CARPET AREA STATEMENT</t>
  </si>
  <si>
    <t>Grand Total</t>
  </si>
  <si>
    <t>Visitor's car parking</t>
  </si>
  <si>
    <t>Carpet Area statement with total UDS for the least extent.
• If any land reserved for future development, an abstract to be shown in the carpet area statement mentioning the UDS for the approved blocks and UDS for the future development.
• Car parking to be allotted/provided as per the Tamil Nadu Combined Development and Building Rules (TNCDBR), 2019.
• If one car parking is required for two apartments, promoter to clearly mention in the carpet area statement as to how car parking will be allotted.
• Promoter to clearly mention cover, open and visitor carparking.
• Car parking allotted to individual apartment to be shown in the carpet area statement.</t>
  </si>
  <si>
    <t>Notes</t>
  </si>
  <si>
    <t>Date: 25.11.2025</t>
  </si>
  <si>
    <t>Project Name - AMARA ANEJA - Stilt Plus Five Floors with 15 Dwelling units</t>
  </si>
  <si>
    <t>(a) Carpet Area ( as per Sec2(k) of the RERA Act)
 (sq.m.)</t>
  </si>
  <si>
    <t>Proportionate Common Area (sq.m.)</t>
  </si>
  <si>
    <t>g =  ( e+f ) Gross Area of the apartment  (sq.m)</t>
  </si>
  <si>
    <t>(h )UDS Land Area (sq.m.)</t>
  </si>
  <si>
    <t>(i) Car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</si>
</sst>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_ "/>
    <numFmt numFmtId="165" formatCode="0.00&quot; &quot;;\(0.00\)"/>
    <numFmt numFmtId="166" formatCode="0.0"/>
    <numFmt numFmtId="167" formatCode="&quot;₹&quot;#,##0.00&quot; &quot;;&quot;(₹&quot;#,##0.00\)"/>
  </numFmts>
  <fonts count="22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u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rgb="FF006100"/>
      <name val="Calibri"/>
      <scheme val="minor"/>
    </font>
    <font>
      <sz val="11"/>
      <color theme="1"/>
      <name val="Calibri"/>
      <charset val="134"/>
      <scheme val="minor"/>
    </font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</font>
    <font>
      <b/>
      <sz val="11"/>
      <color indexed="8"/>
      <name val="Calibri"/>
    </font>
    <font>
      <b/>
      <sz val="12"/>
      <color indexed="8"/>
      <name val="Calibri"/>
      <family val="2"/>
    </font>
    <font>
      <sz val="11"/>
      <color rgb="FF9C0006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2"/>
      <color indexed="8"/>
      <name val="Calibri"/>
    </font>
    <font>
      <sz val="8"/>
      <name val="Calibri"/>
      <charset val="13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rgb="FFF7C6C6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6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FFC7CE"/>
      </patternFill>
    </fill>
  </fills>
  <borders count="7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17"/>
      </left>
      <right style="thin">
        <color indexed="17"/>
      </right>
      <top/>
      <bottom/>
      <diagonal/>
    </border>
  </borders>
  <cellStyleXfs count="5">
    <xf numFmtId="0" fontId="0" fillId="0" borderId="0"/>
    <xf numFmtId="9" fontId="11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 applyNumberFormat="0" applyFill="0" applyBorder="0" applyProtection="0"/>
    <xf numFmtId="0" fontId="18" fillId="16" borderId="0" applyNumberFormat="0" applyBorder="0" applyAlignment="0" applyProtection="0"/>
  </cellStyleXfs>
  <cellXfs count="28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164" fontId="6" fillId="4" borderId="29" xfId="0" applyNumberFormat="1" applyFont="1" applyFill="1" applyBorder="1" applyAlignment="1">
      <alignment horizontal="center" vertical="center"/>
    </xf>
    <xf numFmtId="164" fontId="6" fillId="4" borderId="30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0" borderId="14" xfId="0" applyBorder="1"/>
    <xf numFmtId="0" fontId="8" fillId="0" borderId="14" xfId="0" applyFont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0" fontId="8" fillId="7" borderId="34" xfId="0" applyFont="1" applyFill="1" applyBorder="1" applyAlignment="1">
      <alignment horizontal="right" vertical="center"/>
    </xf>
    <xf numFmtId="2" fontId="0" fillId="0" borderId="16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6" fillId="8" borderId="16" xfId="0" applyNumberFormat="1" applyFont="1" applyFill="1" applyBorder="1" applyAlignment="1">
      <alignment horizontal="center" vertical="center"/>
    </xf>
    <xf numFmtId="2" fontId="6" fillId="8" borderId="15" xfId="0" applyNumberFormat="1" applyFont="1" applyFill="1" applyBorder="1" applyAlignment="1">
      <alignment horizontal="center" vertical="center"/>
    </xf>
    <xf numFmtId="2" fontId="6" fillId="9" borderId="16" xfId="0" applyNumberFormat="1" applyFont="1" applyFill="1" applyBorder="1" applyAlignment="1">
      <alignment horizontal="center" vertical="center"/>
    </xf>
    <xf numFmtId="2" fontId="6" fillId="9" borderId="15" xfId="0" applyNumberFormat="1" applyFont="1" applyFill="1" applyBorder="1" applyAlignment="1">
      <alignment horizontal="center" vertical="center"/>
    </xf>
    <xf numFmtId="164" fontId="6" fillId="4" borderId="28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6" fillId="3" borderId="37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0" fontId="6" fillId="0" borderId="0" xfId="0" applyFont="1"/>
    <xf numFmtId="0" fontId="8" fillId="0" borderId="17" xfId="0" applyFont="1" applyBorder="1" applyAlignment="1">
      <alignment horizontal="center" vertical="center"/>
    </xf>
    <xf numFmtId="164" fontId="8" fillId="2" borderId="24" xfId="0" applyNumberFormat="1" applyFont="1" applyFill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164" fontId="9" fillId="0" borderId="24" xfId="0" applyNumberFormat="1" applyFont="1" applyBorder="1" applyAlignment="1">
      <alignment horizontal="right" vertical="center"/>
    </xf>
    <xf numFmtId="0" fontId="9" fillId="7" borderId="13" xfId="0" applyFont="1" applyFill="1" applyBorder="1" applyAlignment="1">
      <alignment horizontal="right" vertical="center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10" fontId="0" fillId="0" borderId="45" xfId="1" applyNumberFormat="1" applyFon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9" fontId="0" fillId="0" borderId="45" xfId="1" applyFon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10" fontId="0" fillId="0" borderId="45" xfId="1" applyNumberFormat="1" applyFont="1" applyFill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9" fontId="0" fillId="0" borderId="45" xfId="1" applyFont="1" applyFill="1" applyBorder="1" applyAlignment="1">
      <alignment horizontal="center" vertical="center"/>
    </xf>
    <xf numFmtId="9" fontId="0" fillId="0" borderId="48" xfId="1" applyFont="1" applyBorder="1" applyAlignment="1">
      <alignment horizontal="center" vertical="center"/>
    </xf>
    <xf numFmtId="164" fontId="0" fillId="0" borderId="49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10" fontId="6" fillId="4" borderId="54" xfId="1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2" fontId="6" fillId="4" borderId="54" xfId="0" applyNumberFormat="1" applyFont="1" applyFill="1" applyBorder="1" applyAlignment="1">
      <alignment horizontal="center" vertical="center"/>
    </xf>
    <xf numFmtId="0" fontId="6" fillId="4" borderId="54" xfId="0" applyFont="1" applyFill="1" applyBorder="1" applyAlignment="1">
      <alignment horizontal="center" vertical="center"/>
    </xf>
    <xf numFmtId="9" fontId="6" fillId="4" borderId="54" xfId="1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10" borderId="57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57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9" fontId="0" fillId="0" borderId="39" xfId="1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2" fontId="4" fillId="2" borderId="48" xfId="0" applyNumberFormat="1" applyFont="1" applyFill="1" applyBorder="1" applyAlignment="1">
      <alignment horizontal="center" vertical="center"/>
    </xf>
    <xf numFmtId="2" fontId="3" fillId="2" borderId="48" xfId="0" applyNumberFormat="1" applyFont="1" applyFill="1" applyBorder="1" applyAlignment="1">
      <alignment horizontal="center" vertical="center"/>
    </xf>
    <xf numFmtId="2" fontId="4" fillId="2" borderId="61" xfId="0" applyNumberFormat="1" applyFont="1" applyFill="1" applyBorder="1" applyAlignment="1">
      <alignment horizontal="center" vertical="center"/>
    </xf>
    <xf numFmtId="2" fontId="4" fillId="2" borderId="49" xfId="0" applyNumberFormat="1" applyFont="1" applyFill="1" applyBorder="1" applyAlignment="1">
      <alignment horizontal="center" vertical="center"/>
    </xf>
    <xf numFmtId="164" fontId="4" fillId="2" borderId="45" xfId="0" applyNumberFormat="1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/>
    </xf>
    <xf numFmtId="2" fontId="4" fillId="11" borderId="48" xfId="0" applyNumberFormat="1" applyFont="1" applyFill="1" applyBorder="1" applyAlignment="1">
      <alignment horizontal="center" vertical="center"/>
    </xf>
    <xf numFmtId="2" fontId="3" fillId="11" borderId="48" xfId="0" applyNumberFormat="1" applyFont="1" applyFill="1" applyBorder="1" applyAlignment="1">
      <alignment horizontal="center" vertical="center"/>
    </xf>
    <xf numFmtId="2" fontId="4" fillId="11" borderId="61" xfId="0" applyNumberFormat="1" applyFont="1" applyFill="1" applyBorder="1" applyAlignment="1">
      <alignment horizontal="center" vertical="center"/>
    </xf>
    <xf numFmtId="2" fontId="4" fillId="2" borderId="41" xfId="0" applyNumberFormat="1" applyFont="1" applyFill="1" applyBorder="1" applyAlignment="1">
      <alignment horizontal="center" vertical="center"/>
    </xf>
    <xf numFmtId="2" fontId="3" fillId="2" borderId="41" xfId="0" applyNumberFormat="1" applyFont="1" applyFill="1" applyBorder="1" applyAlignment="1">
      <alignment horizontal="center" vertical="center"/>
    </xf>
    <xf numFmtId="2" fontId="4" fillId="2" borderId="62" xfId="0" applyNumberFormat="1" applyFont="1" applyFill="1" applyBorder="1" applyAlignment="1">
      <alignment horizontal="center" vertical="center"/>
    </xf>
    <xf numFmtId="2" fontId="4" fillId="2" borderId="63" xfId="0" applyNumberFormat="1" applyFont="1" applyFill="1" applyBorder="1" applyAlignment="1">
      <alignment horizontal="center" vertical="center"/>
    </xf>
    <xf numFmtId="0" fontId="0" fillId="0" borderId="56" xfId="0" applyBorder="1"/>
    <xf numFmtId="0" fontId="0" fillId="0" borderId="41" xfId="0" applyBorder="1" applyAlignment="1">
      <alignment horizontal="center" vertical="center"/>
    </xf>
    <xf numFmtId="0" fontId="0" fillId="0" borderId="59" xfId="0" applyBorder="1" applyAlignment="1">
      <alignment vertical="center"/>
    </xf>
    <xf numFmtId="0" fontId="0" fillId="12" borderId="27" xfId="0" applyFill="1" applyBorder="1" applyAlignment="1">
      <alignment vertical="center"/>
    </xf>
    <xf numFmtId="2" fontId="6" fillId="12" borderId="57" xfId="0" applyNumberFormat="1" applyFont="1" applyFill="1" applyBorder="1" applyAlignment="1">
      <alignment vertical="center"/>
    </xf>
    <xf numFmtId="0" fontId="0" fillId="12" borderId="57" xfId="0" applyFill="1" applyBorder="1" applyAlignment="1">
      <alignment vertical="center"/>
    </xf>
    <xf numFmtId="0" fontId="0" fillId="12" borderId="30" xfId="0" applyFill="1" applyBorder="1" applyAlignment="1">
      <alignment vertical="center"/>
    </xf>
    <xf numFmtId="49" fontId="13" fillId="0" borderId="64" xfId="3" applyNumberFormat="1" applyFont="1" applyFill="1" applyBorder="1" applyAlignment="1">
      <alignment horizontal="left"/>
    </xf>
    <xf numFmtId="0" fontId="14" fillId="0" borderId="64" xfId="3" applyFont="1" applyFill="1" applyBorder="1" applyAlignment="1">
      <alignment horizontal="left"/>
    </xf>
    <xf numFmtId="0" fontId="14" fillId="0" borderId="64" xfId="3" applyFont="1" applyFill="1" applyBorder="1"/>
    <xf numFmtId="0" fontId="14" fillId="0" borderId="64" xfId="3" applyFont="1" applyFill="1" applyBorder="1" applyAlignment="1">
      <alignment horizontal="center" vertical="center"/>
    </xf>
    <xf numFmtId="2" fontId="14" fillId="0" borderId="64" xfId="3" applyNumberFormat="1" applyFont="1" applyFill="1" applyBorder="1"/>
    <xf numFmtId="2" fontId="14" fillId="0" borderId="64" xfId="3" applyNumberFormat="1" applyFont="1" applyFill="1" applyBorder="1" applyAlignment="1">
      <alignment horizontal="center" vertical="center"/>
    </xf>
    <xf numFmtId="0" fontId="12" fillId="0" borderId="65" xfId="3" applyFill="1" applyBorder="1" applyAlignment="1">
      <alignment horizontal="center"/>
    </xf>
    <xf numFmtId="0" fontId="12" fillId="0" borderId="64" xfId="3" applyBorder="1" applyAlignment="1">
      <alignment horizontal="center"/>
    </xf>
    <xf numFmtId="0" fontId="12" fillId="0" borderId="64" xfId="3" applyBorder="1"/>
    <xf numFmtId="0" fontId="12" fillId="0" borderId="0" xfId="3" applyNumberFormat="1"/>
    <xf numFmtId="49" fontId="10" fillId="13" borderId="66" xfId="2" applyNumberFormat="1" applyBorder="1" applyAlignment="1">
      <alignment horizontal="center" vertical="center" wrapText="1"/>
    </xf>
    <xf numFmtId="0" fontId="10" fillId="13" borderId="66" xfId="2" applyNumberFormat="1" applyBorder="1" applyAlignment="1">
      <alignment horizontal="center"/>
    </xf>
    <xf numFmtId="0" fontId="10" fillId="13" borderId="66" xfId="2" applyBorder="1" applyAlignment="1">
      <alignment vertical="center" wrapText="1"/>
    </xf>
    <xf numFmtId="49" fontId="10" fillId="13" borderId="66" xfId="2" applyNumberFormat="1" applyBorder="1" applyAlignment="1">
      <alignment vertical="center" wrapText="1"/>
    </xf>
    <xf numFmtId="0" fontId="10" fillId="13" borderId="66" xfId="2" applyBorder="1" applyAlignment="1">
      <alignment horizontal="center" vertical="center"/>
    </xf>
    <xf numFmtId="0" fontId="13" fillId="0" borderId="0" xfId="3" applyFont="1" applyBorder="1" applyAlignment="1">
      <alignment horizontal="center" vertical="center"/>
    </xf>
    <xf numFmtId="0" fontId="13" fillId="0" borderId="0" xfId="3" applyFont="1" applyBorder="1" applyAlignment="1">
      <alignment horizontal="center" vertical="center" wrapText="1"/>
    </xf>
    <xf numFmtId="49" fontId="13" fillId="0" borderId="0" xfId="3" applyNumberFormat="1" applyFont="1" applyBorder="1" applyAlignment="1">
      <alignment horizontal="center" vertical="center" wrapText="1"/>
    </xf>
    <xf numFmtId="0" fontId="16" fillId="15" borderId="0" xfId="3" applyFont="1" applyFill="1" applyBorder="1" applyAlignment="1">
      <alignment vertical="center"/>
    </xf>
    <xf numFmtId="49" fontId="15" fillId="0" borderId="64" xfId="3" applyNumberFormat="1" applyFont="1" applyBorder="1" applyAlignment="1">
      <alignment horizontal="center" vertical="center" wrapText="1"/>
    </xf>
    <xf numFmtId="0" fontId="13" fillId="0" borderId="66" xfId="3" applyNumberFormat="1" applyFont="1" applyBorder="1" applyAlignment="1">
      <alignment horizontal="center"/>
    </xf>
    <xf numFmtId="49" fontId="13" fillId="0" borderId="66" xfId="3" applyNumberFormat="1" applyFont="1" applyBorder="1" applyAlignment="1">
      <alignment wrapText="1" readingOrder="1"/>
    </xf>
    <xf numFmtId="49" fontId="13" fillId="0" borderId="66" xfId="3" applyNumberFormat="1" applyFont="1" applyBorder="1" applyAlignment="1">
      <alignment horizontal="center" wrapText="1" readingOrder="1"/>
    </xf>
    <xf numFmtId="2" fontId="13" fillId="0" borderId="66" xfId="3" applyNumberFormat="1" applyFont="1" applyBorder="1" applyAlignment="1">
      <alignment horizontal="center" vertical="center"/>
    </xf>
    <xf numFmtId="4" fontId="13" fillId="0" borderId="66" xfId="3" applyNumberFormat="1" applyFont="1" applyBorder="1" applyAlignment="1">
      <alignment horizontal="center" vertical="center" wrapText="1" readingOrder="1"/>
    </xf>
    <xf numFmtId="0" fontId="13" fillId="0" borderId="66" xfId="3" applyNumberFormat="1" applyFont="1" applyBorder="1" applyAlignment="1">
      <alignment horizontal="center" vertical="center" wrapText="1" readingOrder="1"/>
    </xf>
    <xf numFmtId="1" fontId="13" fillId="0" borderId="66" xfId="3" applyNumberFormat="1" applyFont="1" applyBorder="1" applyAlignment="1">
      <alignment horizontal="center" vertical="center"/>
    </xf>
    <xf numFmtId="0" fontId="13" fillId="0" borderId="67" xfId="3" applyNumberFormat="1" applyFont="1" applyBorder="1" applyAlignment="1">
      <alignment horizontal="center" vertical="center" wrapText="1" readingOrder="1"/>
    </xf>
    <xf numFmtId="0" fontId="17" fillId="0" borderId="66" xfId="3" applyFont="1" applyBorder="1" applyAlignment="1">
      <alignment horizontal="center" vertical="center"/>
    </xf>
    <xf numFmtId="2" fontId="12" fillId="0" borderId="64" xfId="3" applyNumberFormat="1" applyBorder="1" applyAlignment="1">
      <alignment horizontal="center" vertical="center"/>
    </xf>
    <xf numFmtId="0" fontId="13" fillId="0" borderId="68" xfId="3" applyFont="1" applyBorder="1" applyAlignment="1">
      <alignment horizontal="center"/>
    </xf>
    <xf numFmtId="49" fontId="13" fillId="0" borderId="68" xfId="3" applyNumberFormat="1" applyFont="1" applyBorder="1"/>
    <xf numFmtId="0" fontId="13" fillId="0" borderId="68" xfId="3" applyFont="1" applyBorder="1" applyAlignment="1">
      <alignment horizontal="center" vertical="center"/>
    </xf>
    <xf numFmtId="165" fontId="13" fillId="0" borderId="68" xfId="3" applyNumberFormat="1" applyFont="1" applyBorder="1" applyAlignment="1">
      <alignment horizontal="center" vertical="center"/>
    </xf>
    <xf numFmtId="0" fontId="13" fillId="0" borderId="68" xfId="3" applyFont="1" applyBorder="1"/>
    <xf numFmtId="2" fontId="13" fillId="0" borderId="68" xfId="3" applyNumberFormat="1" applyFont="1" applyBorder="1" applyAlignment="1">
      <alignment horizontal="center" vertical="center"/>
    </xf>
    <xf numFmtId="3" fontId="13" fillId="0" borderId="68" xfId="3" applyNumberFormat="1" applyFont="1" applyBorder="1" applyAlignment="1">
      <alignment horizontal="center" vertical="center"/>
    </xf>
    <xf numFmtId="0" fontId="19" fillId="0" borderId="68" xfId="4" applyNumberFormat="1" applyFont="1" applyFill="1" applyBorder="1" applyAlignment="1">
      <alignment horizontal="center" vertical="center" wrapText="1" readingOrder="1"/>
    </xf>
    <xf numFmtId="0" fontId="20" fillId="0" borderId="64" xfId="3" applyFont="1" applyBorder="1" applyAlignment="1">
      <alignment horizontal="center"/>
    </xf>
    <xf numFmtId="0" fontId="20" fillId="0" borderId="64" xfId="3" applyFont="1" applyBorder="1"/>
    <xf numFmtId="165" fontId="10" fillId="13" borderId="64" xfId="2" applyNumberFormat="1" applyBorder="1" applyAlignment="1">
      <alignment horizontal="center" vertical="center"/>
    </xf>
    <xf numFmtId="166" fontId="10" fillId="13" borderId="64" xfId="2" applyNumberFormat="1" applyBorder="1" applyAlignment="1">
      <alignment horizontal="center" vertical="center"/>
    </xf>
    <xf numFmtId="1" fontId="10" fillId="13" borderId="64" xfId="2" applyNumberFormat="1" applyBorder="1" applyAlignment="1">
      <alignment horizontal="center" vertical="center"/>
    </xf>
    <xf numFmtId="0" fontId="20" fillId="14" borderId="64" xfId="3" applyFont="1" applyFill="1" applyBorder="1" applyAlignment="1">
      <alignment horizontal="center"/>
    </xf>
    <xf numFmtId="2" fontId="16" fillId="14" borderId="64" xfId="3" applyNumberFormat="1" applyFont="1" applyFill="1" applyBorder="1" applyAlignment="1">
      <alignment horizontal="center" vertical="center"/>
    </xf>
    <xf numFmtId="0" fontId="12" fillId="0" borderId="65" xfId="3" applyBorder="1" applyAlignment="1">
      <alignment horizontal="center"/>
    </xf>
    <xf numFmtId="0" fontId="12" fillId="0" borderId="65" xfId="3" applyBorder="1" applyAlignment="1">
      <alignment horizontal="left"/>
    </xf>
    <xf numFmtId="0" fontId="12" fillId="15" borderId="65" xfId="3" applyFill="1" applyBorder="1" applyAlignment="1">
      <alignment horizontal="center" vertical="center"/>
    </xf>
    <xf numFmtId="2" fontId="12" fillId="15" borderId="65" xfId="3" applyNumberFormat="1" applyFill="1" applyBorder="1" applyAlignment="1">
      <alignment horizontal="center" wrapText="1"/>
    </xf>
    <xf numFmtId="2" fontId="12" fillId="15" borderId="65" xfId="3" applyNumberFormat="1" applyFill="1" applyBorder="1" applyAlignment="1">
      <alignment horizontal="center" vertical="center" wrapText="1"/>
    </xf>
    <xf numFmtId="2" fontId="16" fillId="15" borderId="65" xfId="3" applyNumberFormat="1" applyFont="1" applyFill="1" applyBorder="1" applyAlignment="1">
      <alignment horizontal="center" vertical="center"/>
    </xf>
    <xf numFmtId="2" fontId="12" fillId="15" borderId="65" xfId="3" applyNumberFormat="1" applyFill="1" applyBorder="1" applyAlignment="1">
      <alignment horizontal="center" vertical="center"/>
    </xf>
    <xf numFmtId="0" fontId="16" fillId="15" borderId="65" xfId="3" applyFont="1" applyFill="1" applyBorder="1" applyAlignment="1">
      <alignment horizontal="center" vertical="center"/>
    </xf>
    <xf numFmtId="0" fontId="12" fillId="0" borderId="0" xfId="3" applyBorder="1" applyAlignment="1">
      <alignment horizontal="center"/>
    </xf>
    <xf numFmtId="0" fontId="12" fillId="15" borderId="0" xfId="3" applyFill="1" applyBorder="1" applyAlignment="1">
      <alignment horizontal="center" vertical="center"/>
    </xf>
    <xf numFmtId="2" fontId="12" fillId="15" borderId="0" xfId="3" applyNumberFormat="1" applyFill="1" applyBorder="1" applyAlignment="1">
      <alignment horizontal="center" vertical="center"/>
    </xf>
    <xf numFmtId="49" fontId="15" fillId="15" borderId="0" xfId="3" applyNumberFormat="1" applyFont="1" applyFill="1" applyBorder="1" applyAlignment="1">
      <alignment horizontal="center" vertical="center" wrapText="1"/>
    </xf>
    <xf numFmtId="0" fontId="12" fillId="0" borderId="0" xfId="3" applyBorder="1"/>
    <xf numFmtId="0" fontId="12" fillId="15" borderId="0" xfId="3" applyNumberFormat="1" applyFill="1" applyBorder="1" applyAlignment="1">
      <alignment horizontal="center" vertical="center"/>
    </xf>
    <xf numFmtId="49" fontId="12" fillId="15" borderId="0" xfId="3" applyNumberFormat="1" applyFill="1" applyBorder="1" applyAlignment="1">
      <alignment horizontal="left" vertical="center" wrapText="1" readingOrder="1"/>
    </xf>
    <xf numFmtId="2" fontId="12" fillId="15" borderId="0" xfId="3" applyNumberFormat="1" applyFill="1" applyBorder="1" applyAlignment="1">
      <alignment horizontal="right" vertical="center"/>
    </xf>
    <xf numFmtId="49" fontId="16" fillId="15" borderId="0" xfId="3" applyNumberFormat="1" applyFont="1" applyFill="1" applyBorder="1" applyAlignment="1">
      <alignment horizontal="center" vertical="center" wrapText="1"/>
    </xf>
    <xf numFmtId="1" fontId="12" fillId="15" borderId="0" xfId="3" applyNumberFormat="1" applyFill="1" applyBorder="1" applyAlignment="1">
      <alignment horizontal="center" vertical="center"/>
    </xf>
    <xf numFmtId="49" fontId="16" fillId="15" borderId="0" xfId="3" applyNumberFormat="1" applyFont="1" applyFill="1" applyBorder="1" applyAlignment="1">
      <alignment horizontal="center" vertical="center"/>
    </xf>
    <xf numFmtId="2" fontId="16" fillId="15" borderId="0" xfId="3" applyNumberFormat="1" applyFont="1" applyFill="1" applyBorder="1" applyAlignment="1">
      <alignment horizontal="center" vertical="center"/>
    </xf>
    <xf numFmtId="49" fontId="12" fillId="15" borderId="0" xfId="3" applyNumberFormat="1" applyFill="1" applyBorder="1" applyAlignment="1">
      <alignment horizontal="center" vertical="top" wrapText="1"/>
    </xf>
    <xf numFmtId="1" fontId="12" fillId="15" borderId="0" xfId="3" applyNumberFormat="1" applyFill="1" applyBorder="1" applyAlignment="1">
      <alignment horizontal="center" vertical="top"/>
    </xf>
    <xf numFmtId="0" fontId="12" fillId="15" borderId="0" xfId="3" applyFill="1" applyBorder="1" applyAlignment="1">
      <alignment horizontal="center" vertical="center" wrapText="1"/>
    </xf>
    <xf numFmtId="167" fontId="12" fillId="15" borderId="0" xfId="3" applyNumberFormat="1" applyFill="1" applyBorder="1" applyAlignment="1">
      <alignment horizontal="center" vertical="center"/>
    </xf>
    <xf numFmtId="0" fontId="16" fillId="15" borderId="0" xfId="3" applyFont="1" applyFill="1" applyBorder="1" applyAlignment="1">
      <alignment horizontal="center" vertical="top" wrapText="1"/>
    </xf>
    <xf numFmtId="2" fontId="16" fillId="14" borderId="0" xfId="3" applyNumberFormat="1" applyFont="1" applyFill="1" applyBorder="1" applyAlignment="1">
      <alignment horizontal="right" vertical="center"/>
    </xf>
    <xf numFmtId="0" fontId="16" fillId="15" borderId="0" xfId="3" applyFont="1" applyFill="1" applyBorder="1" applyAlignment="1">
      <alignment horizontal="center" vertical="center"/>
    </xf>
    <xf numFmtId="0" fontId="16" fillId="15" borderId="0" xfId="3" applyFont="1" applyFill="1" applyBorder="1" applyAlignment="1">
      <alignment horizontal="left" vertical="center"/>
    </xf>
    <xf numFmtId="0" fontId="16" fillId="15" borderId="0" xfId="3" applyFont="1" applyFill="1" applyBorder="1" applyAlignment="1">
      <alignment horizontal="right" vertical="center"/>
    </xf>
    <xf numFmtId="0" fontId="12" fillId="15" borderId="0" xfId="3" applyFill="1" applyBorder="1" applyAlignment="1">
      <alignment horizontal="left" vertical="center"/>
    </xf>
    <xf numFmtId="10" fontId="12" fillId="15" borderId="0" xfId="3" applyNumberFormat="1" applyFill="1" applyBorder="1" applyAlignment="1">
      <alignment horizontal="right" vertical="center"/>
    </xf>
    <xf numFmtId="0" fontId="12" fillId="0" borderId="69" xfId="3" applyBorder="1" applyAlignment="1">
      <alignment horizontal="center"/>
    </xf>
    <xf numFmtId="0" fontId="12" fillId="0" borderId="69" xfId="3" applyBorder="1"/>
    <xf numFmtId="0" fontId="12" fillId="15" borderId="69" xfId="3" applyFill="1" applyBorder="1" applyAlignment="1">
      <alignment horizontal="center" vertical="center"/>
    </xf>
    <xf numFmtId="2" fontId="12" fillId="15" borderId="69" xfId="3" applyNumberFormat="1" applyFill="1" applyBorder="1" applyAlignment="1">
      <alignment horizontal="center" vertical="center"/>
    </xf>
    <xf numFmtId="2" fontId="12" fillId="0" borderId="69" xfId="3" applyNumberFormat="1" applyBorder="1" applyAlignment="1">
      <alignment horizontal="center"/>
    </xf>
    <xf numFmtId="165" fontId="10" fillId="0" borderId="64" xfId="2" applyNumberFormat="1" applyFill="1" applyBorder="1" applyAlignment="1">
      <alignment horizontal="center" vertical="center"/>
    </xf>
    <xf numFmtId="49" fontId="13" fillId="0" borderId="66" xfId="3" applyNumberFormat="1" applyFont="1" applyBorder="1" applyAlignment="1">
      <alignment horizontal="center"/>
    </xf>
    <xf numFmtId="0" fontId="12" fillId="0" borderId="0" xfId="3" applyNumberFormat="1" applyAlignment="1">
      <alignment wrapText="1"/>
    </xf>
    <xf numFmtId="0" fontId="12" fillId="0" borderId="0" xfId="3" applyNumberFormat="1"/>
    <xf numFmtId="49" fontId="16" fillId="14" borderId="64" xfId="3" applyNumberFormat="1" applyFont="1" applyFill="1" applyBorder="1" applyAlignment="1">
      <alignment horizontal="center" vertical="center" wrapText="1"/>
    </xf>
    <xf numFmtId="0" fontId="12" fillId="0" borderId="64" xfId="3" applyBorder="1"/>
    <xf numFmtId="0" fontId="13" fillId="0" borderId="66" xfId="3" applyNumberFormat="1" applyFont="1" applyBorder="1" applyAlignment="1">
      <alignment horizontal="center" vertical="center" wrapText="1"/>
    </xf>
    <xf numFmtId="49" fontId="10" fillId="0" borderId="64" xfId="2" applyNumberFormat="1" applyFill="1" applyBorder="1" applyAlignment="1">
      <alignment horizontal="center"/>
    </xf>
    <xf numFmtId="0" fontId="10" fillId="0" borderId="64" xfId="2" applyFill="1" applyBorder="1" applyAlignment="1"/>
    <xf numFmtId="49" fontId="16" fillId="14" borderId="0" xfId="3" applyNumberFormat="1" applyFont="1" applyFill="1" applyBorder="1" applyAlignment="1">
      <alignment horizontal="left" vertical="center"/>
    </xf>
    <xf numFmtId="0" fontId="12" fillId="0" borderId="0" xfId="3" applyBorder="1"/>
    <xf numFmtId="49" fontId="16" fillId="14" borderId="0" xfId="3" applyNumberFormat="1" applyFont="1" applyFill="1" applyBorder="1" applyAlignment="1">
      <alignment horizontal="center" vertical="center"/>
    </xf>
    <xf numFmtId="49" fontId="10" fillId="13" borderId="66" xfId="2" applyNumberFormat="1" applyBorder="1" applyAlignment="1">
      <alignment horizontal="center" vertical="center" wrapText="1"/>
    </xf>
    <xf numFmtId="0" fontId="10" fillId="13" borderId="66" xfId="2" applyBorder="1" applyAlignment="1"/>
    <xf numFmtId="49" fontId="10" fillId="13" borderId="66" xfId="2" applyNumberFormat="1" applyBorder="1" applyAlignment="1">
      <alignment horizontal="center" vertical="center"/>
    </xf>
    <xf numFmtId="0" fontId="13" fillId="0" borderId="0" xfId="3" applyFont="1" applyFill="1" applyBorder="1" applyAlignment="1">
      <alignment horizontal="center" vertical="center" wrapText="1"/>
    </xf>
    <xf numFmtId="49" fontId="13" fillId="0" borderId="46" xfId="3" applyNumberFormat="1" applyFont="1" applyBorder="1" applyAlignment="1">
      <alignment horizontal="center" wrapText="1"/>
    </xf>
    <xf numFmtId="49" fontId="15" fillId="0" borderId="64" xfId="3" applyNumberFormat="1" applyFont="1" applyBorder="1" applyAlignment="1">
      <alignment horizontal="left"/>
    </xf>
    <xf numFmtId="0" fontId="3" fillId="3" borderId="40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34" xfId="0" applyFont="1" applyFill="1" applyBorder="1" applyAlignment="1">
      <alignment horizontal="center" vertical="center"/>
    </xf>
    <xf numFmtId="0" fontId="8" fillId="7" borderId="34" xfId="0" applyFont="1" applyFill="1" applyBorder="1" applyAlignment="1">
      <alignment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2" borderId="2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1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6" xfId="0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56" xfId="0" applyFont="1" applyFill="1" applyBorder="1" applyAlignment="1">
      <alignment horizontal="center" vertical="center"/>
    </xf>
  </cellXfs>
  <cellStyles count="5">
    <cellStyle name="Bad 2" xfId="4"/>
    <cellStyle name="Good" xfId="2" builtinId="26"/>
    <cellStyle name="Normal" xfId="0" builtinId="0"/>
    <cellStyle name="Normal 2" xfId="3"/>
    <cellStyle name="Percent" xfId="1" builtinId="5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00FF"/>
      <color rgb="FFFF1515"/>
      <color rgb="FFF7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78105</xdr:colOff>
      <xdr:row>2</xdr:row>
      <xdr:rowOff>84455</xdr:rowOff>
    </xdr:from>
    <xdr:to>
      <xdr:col>24</xdr:col>
      <xdr:colOff>31750</xdr:colOff>
      <xdr:row>2</xdr:row>
      <xdr:rowOff>893445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322" t="-3658" r="3322" b="3658"/>
        <a:stretch>
          <a:fillRect/>
        </a:stretch>
      </xdr:blipFill>
      <xdr:spPr>
        <a:xfrm>
          <a:off x="17352645" y="846455"/>
          <a:ext cx="2582545" cy="8089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3\drawing\GFC\AMARA%20-%20antara\area%20statement\rera%20statement\20250704_ANTARA%20SALEABLE%20&amp;%20RERA%20ARE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3\drawing\GFC\AMARA%20-%20aneja\area%20statement\22.08.2025_AMARA%20ANEJA_SALE%20AREA%20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ABLE AREAS"/>
      <sheetName val="AREAS-CLIENT VIEW"/>
    </sheetNames>
    <sheetDataSet>
      <sheetData sheetId="0">
        <row r="13">
          <cell r="D13">
            <v>2502.84528</v>
          </cell>
        </row>
        <row r="14">
          <cell r="D14">
            <v>2396.9275199999997</v>
          </cell>
        </row>
        <row r="15">
          <cell r="D15">
            <v>1781.8725599999998</v>
          </cell>
        </row>
        <row r="22">
          <cell r="C22">
            <v>379.75391999999999</v>
          </cell>
        </row>
        <row r="23">
          <cell r="C23">
            <v>379.75391999999999</v>
          </cell>
        </row>
        <row r="24">
          <cell r="C24">
            <v>379.75391999999999</v>
          </cell>
        </row>
        <row r="25">
          <cell r="C25">
            <v>379.75391999999999</v>
          </cell>
        </row>
        <row r="26">
          <cell r="C26">
            <v>379.75391999999999</v>
          </cell>
        </row>
        <row r="27">
          <cell r="C27">
            <v>348.00011999999998</v>
          </cell>
        </row>
        <row r="28">
          <cell r="C28">
            <v>717.85115999999994</v>
          </cell>
        </row>
        <row r="29">
          <cell r="C29">
            <v>269.09999999999997</v>
          </cell>
        </row>
        <row r="30">
          <cell r="C30">
            <v>959.61059999999998</v>
          </cell>
        </row>
        <row r="31">
          <cell r="C31">
            <v>202.36320000000001</v>
          </cell>
        </row>
        <row r="32">
          <cell r="A32" t="str">
            <v>shaft</v>
          </cell>
          <cell r="C32">
            <v>573.07535999999993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EAS-CLIENT VIEW ( Combined)"/>
      <sheetName val="Sheet1"/>
      <sheetName val="AREAS-CLIENT VIEW split"/>
      <sheetName val="SHEET 01"/>
    </sheetNames>
    <sheetDataSet>
      <sheetData sheetId="0"/>
      <sheetData sheetId="1"/>
      <sheetData sheetId="2"/>
      <sheetData sheetId="3">
        <row r="7">
          <cell r="G7">
            <v>204.87</v>
          </cell>
          <cell r="H7">
            <v>2205.2206799999999</v>
          </cell>
          <cell r="Q7">
            <v>3417.6823236966611</v>
          </cell>
          <cell r="S7">
            <v>94.434893868195502</v>
          </cell>
          <cell r="T7">
            <v>1016.4971975972563</v>
          </cell>
        </row>
        <row r="8">
          <cell r="H8">
            <v>1887.6826799999999</v>
          </cell>
          <cell r="Q8">
            <v>2798.6568144988396</v>
          </cell>
          <cell r="S8">
            <v>77.330434551575195</v>
          </cell>
          <cell r="T8">
            <v>832.38479751315538</v>
          </cell>
          <cell r="AC8">
            <v>63.320435126036898</v>
          </cell>
          <cell r="AD8">
            <v>2.95</v>
          </cell>
        </row>
        <row r="9">
          <cell r="H9">
            <v>2019.5416799999998</v>
          </cell>
          <cell r="Q9">
            <v>3045.2451689447134</v>
          </cell>
          <cell r="S9">
            <v>84.143983288908302</v>
          </cell>
          <cell r="T9">
            <v>905.72583612180892</v>
          </cell>
          <cell r="AC9">
            <v>51.851562105057567</v>
          </cell>
          <cell r="AD9">
            <v>6.21</v>
          </cell>
        </row>
        <row r="10">
          <cell r="H10">
            <v>2206.62</v>
          </cell>
          <cell r="Q10">
            <v>3558.1865932691462</v>
          </cell>
          <cell r="S10">
            <v>98.317204899009639</v>
          </cell>
          <cell r="T10">
            <v>1058.2863935329397</v>
          </cell>
          <cell r="AC10">
            <v>56.420179203336474</v>
          </cell>
          <cell r="AD10">
            <v>7.7</v>
          </cell>
        </row>
        <row r="11">
          <cell r="H11">
            <v>1890.6966</v>
          </cell>
          <cell r="Q11">
            <v>2799.5979914242057</v>
          </cell>
          <cell r="S11">
            <v>77.356440462786381</v>
          </cell>
          <cell r="T11">
            <v>832.66472514143254</v>
          </cell>
          <cell r="AC11">
            <v>65.923600266550238</v>
          </cell>
          <cell r="AD11">
            <v>4.62</v>
          </cell>
        </row>
        <row r="12">
          <cell r="H12">
            <v>2019.3263999999999</v>
          </cell>
          <cell r="Q12">
            <v>3041.3460073967685</v>
          </cell>
          <cell r="S12">
            <v>84.03624451389048</v>
          </cell>
          <cell r="T12">
            <v>904.56613594751707</v>
          </cell>
          <cell r="AC12">
            <v>51.868999574898325</v>
          </cell>
          <cell r="AD12">
            <v>6</v>
          </cell>
        </row>
        <row r="13">
          <cell r="H13">
            <v>2195.6407199999999</v>
          </cell>
          <cell r="Q13">
            <v>3288.741084921528</v>
          </cell>
          <cell r="S13">
            <v>90.872084032261782</v>
          </cell>
          <cell r="T13">
            <v>978.14711252326572</v>
          </cell>
          <cell r="AC13">
            <v>56.347938256853318</v>
          </cell>
          <cell r="AD13">
            <v>8.26</v>
          </cell>
        </row>
        <row r="14">
          <cell r="H14">
            <v>1994.5691999999999</v>
          </cell>
          <cell r="Q14">
            <v>2920.6064532569685</v>
          </cell>
          <cell r="S14">
            <v>80.700057618511465</v>
          </cell>
          <cell r="T14">
            <v>868.65542020565738</v>
          </cell>
          <cell r="AC14">
            <v>60.931501757852892</v>
          </cell>
          <cell r="AD14">
            <v>4.62</v>
          </cell>
        </row>
        <row r="15">
          <cell r="H15">
            <v>2019.9722399999998</v>
          </cell>
          <cell r="Q15">
            <v>3041.4804612432499</v>
          </cell>
          <cell r="S15">
            <v>84.039959644063515</v>
          </cell>
          <cell r="T15">
            <v>904.60612560869959</v>
          </cell>
          <cell r="AC15">
            <v>54.110959982995936</v>
          </cell>
          <cell r="AD15">
            <v>5.44</v>
          </cell>
        </row>
        <row r="16">
          <cell r="H16">
            <v>4354.1456399999997</v>
          </cell>
          <cell r="Q16">
            <v>6492.3728850206799</v>
          </cell>
          <cell r="S16">
            <v>179.39249066499687</v>
          </cell>
          <cell r="T16">
            <v>1930.9807695180261</v>
          </cell>
          <cell r="AC16">
            <v>56.350429323973437</v>
          </cell>
          <cell r="AD16">
            <v>8.26</v>
          </cell>
        </row>
        <row r="17">
          <cell r="H17">
            <v>2012.5450799999999</v>
          </cell>
          <cell r="Q17">
            <v>3035.5644919980923</v>
          </cell>
          <cell r="S17">
            <v>83.876493916450286</v>
          </cell>
          <cell r="T17">
            <v>902.84658051667088</v>
          </cell>
        </row>
        <row r="18">
          <cell r="J18">
            <v>124.97003999999998</v>
          </cell>
          <cell r="L18">
            <v>76.854959999999991</v>
          </cell>
          <cell r="N18">
            <v>152.69659163239044</v>
          </cell>
          <cell r="Q18">
            <v>6335.3307923310504</v>
          </cell>
          <cell r="S18">
            <v>175.05321862290035</v>
          </cell>
          <cell r="T18">
            <v>1884.2728452568992</v>
          </cell>
        </row>
        <row r="19">
          <cell r="Q19">
            <v>3035.5644919980923</v>
          </cell>
          <cell r="S19">
            <v>83.876493916450286</v>
          </cell>
          <cell r="T19">
            <v>902.84658051667088</v>
          </cell>
        </row>
        <row r="20">
          <cell r="S20">
            <v>0</v>
          </cell>
        </row>
        <row r="21">
          <cell r="S2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1"/>
  <sheetViews>
    <sheetView showGridLines="0" tabSelected="1" zoomScaleNormal="100" workbookViewId="0">
      <selection activeCell="B44" sqref="B44:T51"/>
    </sheetView>
  </sheetViews>
  <sheetFormatPr defaultColWidth="14.42578125" defaultRowHeight="15.4" customHeight="1"/>
  <cols>
    <col min="1" max="1" width="6.42578125" style="128" customWidth="1"/>
    <col min="2" max="2" width="13" style="128" customWidth="1"/>
    <col min="3" max="3" width="11.42578125" style="128" customWidth="1"/>
    <col min="4" max="4" width="8.42578125" style="128" customWidth="1"/>
    <col min="5" max="5" width="9.42578125" style="128" customWidth="1"/>
    <col min="6" max="6" width="10.42578125" style="128" hidden="1" customWidth="1"/>
    <col min="7" max="7" width="18.5703125" style="128" customWidth="1"/>
    <col min="8" max="8" width="22.140625" style="128" hidden="1" customWidth="1"/>
    <col min="9" max="9" width="22.42578125" style="128" hidden="1" customWidth="1"/>
    <col min="10" max="10" width="22.42578125" style="128" customWidth="1"/>
    <col min="11" max="11" width="15.42578125" style="128" hidden="1" customWidth="1"/>
    <col min="12" max="12" width="15.42578125" style="128" customWidth="1"/>
    <col min="13" max="13" width="21.140625" style="128" hidden="1" customWidth="1"/>
    <col min="14" max="16" width="21.140625" style="128" customWidth="1"/>
    <col min="17" max="17" width="22.85546875" style="128" hidden="1" customWidth="1"/>
    <col min="18" max="18" width="22.85546875" style="128" customWidth="1"/>
    <col min="19" max="19" width="14.42578125" style="128" hidden="1" customWidth="1"/>
    <col min="20" max="20" width="24" style="128" bestFit="1" customWidth="1"/>
    <col min="21" max="21" width="12.42578125" style="128" hidden="1" customWidth="1"/>
    <col min="22" max="22" width="6.28515625" style="128" bestFit="1" customWidth="1"/>
    <col min="23" max="23" width="9.5703125" style="128" customWidth="1"/>
    <col min="24" max="24" width="17.28515625" style="128" hidden="1" customWidth="1"/>
    <col min="25" max="25" width="14.85546875" style="128" hidden="1" customWidth="1"/>
    <col min="26" max="26" width="14.42578125" style="128" customWidth="1"/>
    <col min="27" max="16384" width="14.42578125" style="128"/>
  </cols>
  <sheetData>
    <row r="1" spans="1:25" ht="24.95" customHeight="1">
      <c r="A1" s="119" t="s">
        <v>138</v>
      </c>
      <c r="B1" s="120"/>
      <c r="C1" s="121"/>
      <c r="D1" s="121"/>
      <c r="E1" s="121"/>
      <c r="F1" s="122"/>
      <c r="G1" s="122"/>
      <c r="H1" s="121"/>
      <c r="I1" s="121"/>
      <c r="J1" s="121"/>
      <c r="K1" s="121"/>
      <c r="L1" s="121"/>
      <c r="M1" s="121"/>
      <c r="N1" s="121"/>
      <c r="O1" s="121"/>
      <c r="P1" s="121"/>
      <c r="Q1" s="123"/>
      <c r="R1" s="123"/>
      <c r="S1" s="124"/>
      <c r="T1" s="124" t="s">
        <v>137</v>
      </c>
      <c r="U1" s="124"/>
      <c r="V1" s="122"/>
      <c r="W1" s="125"/>
      <c r="X1" s="126"/>
      <c r="Y1" s="127"/>
    </row>
    <row r="2" spans="1:25" ht="15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126"/>
      <c r="Y2" s="127"/>
    </row>
    <row r="3" spans="1:25" ht="15">
      <c r="A3" s="201" t="s">
        <v>132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126"/>
      <c r="Y3" s="127"/>
    </row>
    <row r="4" spans="1:25" ht="37.5" customHeight="1">
      <c r="A4" s="216" t="s">
        <v>69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7" t="s">
        <v>2</v>
      </c>
      <c r="Y4" s="205"/>
    </row>
    <row r="5" spans="1:25" ht="24.95" customHeight="1">
      <c r="A5" s="214" t="s">
        <v>3</v>
      </c>
      <c r="B5" s="214" t="s">
        <v>70</v>
      </c>
      <c r="C5" s="212" t="s">
        <v>4</v>
      </c>
      <c r="D5" s="214" t="s">
        <v>5</v>
      </c>
      <c r="E5" s="214" t="s">
        <v>6</v>
      </c>
      <c r="F5" s="212" t="s">
        <v>71</v>
      </c>
      <c r="G5" s="212" t="s">
        <v>139</v>
      </c>
      <c r="H5" s="212" t="s">
        <v>72</v>
      </c>
      <c r="I5" s="212" t="s">
        <v>73</v>
      </c>
      <c r="J5" s="212" t="s">
        <v>74</v>
      </c>
      <c r="K5" s="212" t="s">
        <v>75</v>
      </c>
      <c r="L5" s="212" t="s">
        <v>76</v>
      </c>
      <c r="M5" s="212" t="s">
        <v>77</v>
      </c>
      <c r="N5" s="129" t="s">
        <v>78</v>
      </c>
      <c r="O5" s="129" t="s">
        <v>79</v>
      </c>
      <c r="P5" s="130" t="s">
        <v>80</v>
      </c>
      <c r="Q5" s="212" t="s">
        <v>81</v>
      </c>
      <c r="R5" s="212" t="s">
        <v>141</v>
      </c>
      <c r="S5" s="212" t="s">
        <v>82</v>
      </c>
      <c r="T5" s="212" t="s">
        <v>142</v>
      </c>
      <c r="U5" s="212" t="s">
        <v>83</v>
      </c>
      <c r="V5" s="214" t="s">
        <v>143</v>
      </c>
      <c r="W5" s="214"/>
      <c r="X5" s="204" t="s">
        <v>84</v>
      </c>
      <c r="Y5" s="204" t="s">
        <v>85</v>
      </c>
    </row>
    <row r="6" spans="1:25" ht="46.5" customHeight="1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131" t="s">
        <v>86</v>
      </c>
      <c r="O6" s="131" t="s">
        <v>87</v>
      </c>
      <c r="P6" s="132" t="s">
        <v>140</v>
      </c>
      <c r="Q6" s="213"/>
      <c r="R6" s="213"/>
      <c r="S6" s="213"/>
      <c r="T6" s="213"/>
      <c r="U6" s="213"/>
      <c r="V6" s="133" t="s">
        <v>88</v>
      </c>
      <c r="W6" s="133" t="s">
        <v>89</v>
      </c>
      <c r="X6" s="205"/>
      <c r="Y6" s="205"/>
    </row>
    <row r="7" spans="1:25" ht="35.25" hidden="1" customHeight="1">
      <c r="A7" s="134"/>
      <c r="B7" s="134"/>
      <c r="C7" s="135"/>
      <c r="D7" s="134"/>
      <c r="E7" s="134"/>
      <c r="F7" s="135"/>
      <c r="G7" s="136" t="s">
        <v>90</v>
      </c>
      <c r="H7" s="136" t="s">
        <v>90</v>
      </c>
      <c r="I7" s="135"/>
      <c r="J7" s="136" t="s">
        <v>91</v>
      </c>
      <c r="K7" s="136" t="s">
        <v>91</v>
      </c>
      <c r="L7" s="136" t="s">
        <v>92</v>
      </c>
      <c r="M7" s="136" t="s">
        <v>92</v>
      </c>
      <c r="N7" s="136"/>
      <c r="O7" s="136"/>
      <c r="P7" s="136" t="s">
        <v>93</v>
      </c>
      <c r="Q7" s="136" t="s">
        <v>93</v>
      </c>
      <c r="R7" s="136" t="s">
        <v>94</v>
      </c>
      <c r="S7" s="136" t="s">
        <v>94</v>
      </c>
      <c r="T7" s="135"/>
      <c r="U7" s="135"/>
      <c r="V7" s="135"/>
      <c r="W7" s="137"/>
      <c r="X7" s="138" t="s">
        <v>30</v>
      </c>
      <c r="Y7" s="138" t="s">
        <v>31</v>
      </c>
    </row>
    <row r="8" spans="1:25" ht="24.95" customHeight="1">
      <c r="A8" s="139">
        <f>1</f>
        <v>1</v>
      </c>
      <c r="B8" s="206" t="s">
        <v>95</v>
      </c>
      <c r="C8" s="140" t="s">
        <v>96</v>
      </c>
      <c r="D8" s="141" t="s">
        <v>97</v>
      </c>
      <c r="E8" s="141" t="s">
        <v>98</v>
      </c>
      <c r="F8" s="142">
        <f>'[1]SALEABLE AREAS'!D13</f>
        <v>2502.84528</v>
      </c>
      <c r="G8" s="143">
        <f>'SHEET 01 (2)'!G7</f>
        <v>204.87</v>
      </c>
      <c r="H8" s="143">
        <f>'[2]SHEET 01'!H7</f>
        <v>2205.2206799999999</v>
      </c>
      <c r="I8" s="144">
        <v>2237.3000000000002</v>
      </c>
      <c r="J8" s="143">
        <f>'SHEET 01 (2)'!I7</f>
        <v>21.52</v>
      </c>
      <c r="K8" s="142">
        <f>9.96*10.764</f>
        <v>107.20944</v>
      </c>
      <c r="L8" s="143">
        <f>'SHEET 01 (2)'!K7</f>
        <v>7.13</v>
      </c>
      <c r="M8" s="142">
        <f>3.81*10.764</f>
        <v>41.010839999999995</v>
      </c>
      <c r="N8" s="142">
        <f>'SHEET 01 (2)'!AA8</f>
        <v>17.72</v>
      </c>
      <c r="O8" s="142">
        <f>G8+J8+L8+N8</f>
        <v>251.24</v>
      </c>
      <c r="P8" s="143">
        <f>'[2]SHEET 01'!AC8+'[2]SHEET 01'!AD8</f>
        <v>66.270435126036901</v>
      </c>
      <c r="Q8" s="142">
        <f t="shared" ref="Q8:Q19" si="0">X8+Y8</f>
        <v>596.82245014708417</v>
      </c>
      <c r="R8" s="143">
        <f>O8+P8</f>
        <v>317.5104351260369</v>
      </c>
      <c r="S8" s="142">
        <f>'[2]SHEET 01'!Q7</f>
        <v>3417.6823236966611</v>
      </c>
      <c r="T8" s="143">
        <f>'[2]SHEET 01'!S7</f>
        <v>94.434893868195502</v>
      </c>
      <c r="U8" s="145">
        <f>'[2]SHEET 01'!T7</f>
        <v>1016.4971975972563</v>
      </c>
      <c r="V8" s="146">
        <v>2</v>
      </c>
      <c r="W8" s="147">
        <v>1</v>
      </c>
      <c r="X8" s="148">
        <f>15.07*10.764</f>
        <v>162.21348</v>
      </c>
      <c r="Y8" s="148">
        <f>F8*C36</f>
        <v>434.60897014708416</v>
      </c>
    </row>
    <row r="9" spans="1:25" ht="24.95" customHeight="1">
      <c r="A9" s="139">
        <f>A8+1</f>
        <v>2</v>
      </c>
      <c r="B9" s="206"/>
      <c r="C9" s="140" t="s">
        <v>96</v>
      </c>
      <c r="D9" s="141" t="s">
        <v>99</v>
      </c>
      <c r="E9" s="141" t="s">
        <v>98</v>
      </c>
      <c r="F9" s="142">
        <f>'[1]SALEABLE AREAS'!D14</f>
        <v>2396.9275199999997</v>
      </c>
      <c r="G9" s="143">
        <f>'SHEET 01 (2)'!G8</f>
        <v>175.37</v>
      </c>
      <c r="H9" s="143">
        <f>'[2]SHEET 01'!H8</f>
        <v>1887.6826799999999</v>
      </c>
      <c r="I9" s="144">
        <v>2154.5700000000002</v>
      </c>
      <c r="J9" s="143">
        <f>'SHEET 01 (2)'!I8</f>
        <v>7.58</v>
      </c>
      <c r="K9" s="142">
        <f>10.41*10.764</f>
        <v>112.05323999999999</v>
      </c>
      <c r="L9" s="143">
        <f>'SHEET 01 (2)'!K8</f>
        <v>6.37</v>
      </c>
      <c r="M9" s="142">
        <f>4.78*10.764</f>
        <v>51.451920000000001</v>
      </c>
      <c r="N9" s="142">
        <f>'SHEET 01 (2)'!AA9</f>
        <v>12.62</v>
      </c>
      <c r="O9" s="142">
        <f t="shared" ref="O9:O22" si="1">G9+J9+L9+N9</f>
        <v>201.94000000000003</v>
      </c>
      <c r="P9" s="143">
        <f>'[2]SHEET 01'!AC9+'[2]SHEET 01'!AD9</f>
        <v>58.061562105057568</v>
      </c>
      <c r="Q9" s="142">
        <f t="shared" si="0"/>
        <v>560.7772990828862</v>
      </c>
      <c r="R9" s="143">
        <f>O9+P9</f>
        <v>260.00156210505759</v>
      </c>
      <c r="S9" s="142">
        <f>'[2]SHEET 01'!Q8</f>
        <v>2798.6568144988396</v>
      </c>
      <c r="T9" s="143">
        <f>'[2]SHEET 01'!S8</f>
        <v>77.330434551575195</v>
      </c>
      <c r="U9" s="145">
        <f>'[2]SHEET 01'!T8</f>
        <v>832.38479751315538</v>
      </c>
      <c r="V9" s="146">
        <v>1</v>
      </c>
      <c r="W9" s="147">
        <v>1</v>
      </c>
      <c r="X9" s="148">
        <f>13.43*10.764</f>
        <v>144.56052</v>
      </c>
      <c r="Y9" s="148">
        <f>F9*C36</f>
        <v>416.21677908288615</v>
      </c>
    </row>
    <row r="10" spans="1:25" ht="24.95" customHeight="1">
      <c r="A10" s="139">
        <f t="shared" ref="A10:A22" si="2">A9+1</f>
        <v>3</v>
      </c>
      <c r="B10" s="206"/>
      <c r="C10" s="140" t="s">
        <v>96</v>
      </c>
      <c r="D10" s="141" t="s">
        <v>100</v>
      </c>
      <c r="E10" s="141" t="s">
        <v>101</v>
      </c>
      <c r="F10" s="142">
        <f>'[1]SALEABLE AREAS'!D15</f>
        <v>1781.8725599999998</v>
      </c>
      <c r="G10" s="143">
        <f>'SHEET 01 (2)'!G9</f>
        <v>187.62</v>
      </c>
      <c r="H10" s="143">
        <f>'[2]SHEET 01'!H9</f>
        <v>2019.5416799999998</v>
      </c>
      <c r="I10" s="144">
        <v>1600.92</v>
      </c>
      <c r="J10" s="143">
        <f>'SHEET 01 (2)'!I9</f>
        <v>9.8800000000000008</v>
      </c>
      <c r="K10" s="142">
        <f>6.73*10.764</f>
        <v>72.441720000000004</v>
      </c>
      <c r="L10" s="143">
        <f>'SHEET 01 (2)'!K9</f>
        <v>6.73</v>
      </c>
      <c r="M10" s="142">
        <f>3.92*10.764</f>
        <v>42.194879999999998</v>
      </c>
      <c r="N10" s="142">
        <f>'SHEET 01 (2)'!AA10</f>
        <v>14.56</v>
      </c>
      <c r="O10" s="142">
        <f t="shared" si="1"/>
        <v>218.79</v>
      </c>
      <c r="P10" s="143">
        <f>'[2]SHEET 01'!AC10+'[2]SHEET 01'!AD10</f>
        <v>64.120179203336477</v>
      </c>
      <c r="Q10" s="142">
        <f t="shared" si="0"/>
        <v>429.1106504031838</v>
      </c>
      <c r="R10" s="143">
        <f t="shared" ref="R10:R22" si="3">O10+P10</f>
        <v>282.9101792033365</v>
      </c>
      <c r="S10" s="142">
        <f>'[2]SHEET 01'!Q9</f>
        <v>3045.2451689447134</v>
      </c>
      <c r="T10" s="143">
        <f>'[2]SHEET 01'!S9</f>
        <v>84.143983288908302</v>
      </c>
      <c r="U10" s="145">
        <f>'[2]SHEET 01'!T9</f>
        <v>905.72583612180892</v>
      </c>
      <c r="V10" s="146">
        <v>3</v>
      </c>
      <c r="W10" s="147">
        <v>0</v>
      </c>
      <c r="X10" s="148">
        <f>11.12*10.764</f>
        <v>119.69567999999998</v>
      </c>
      <c r="Y10" s="148">
        <f>F10*C36</f>
        <v>309.41497040318382</v>
      </c>
    </row>
    <row r="11" spans="1:25" ht="24.95" customHeight="1">
      <c r="A11" s="139">
        <f t="shared" si="2"/>
        <v>4</v>
      </c>
      <c r="B11" s="206"/>
      <c r="C11" s="140" t="s">
        <v>102</v>
      </c>
      <c r="D11" s="141" t="s">
        <v>103</v>
      </c>
      <c r="E11" s="141" t="s">
        <v>98</v>
      </c>
      <c r="F11" s="142">
        <f t="shared" ref="F11:F13" si="4">F8</f>
        <v>2502.84528</v>
      </c>
      <c r="G11" s="143">
        <f>'SHEET 01 (2)'!G10</f>
        <v>205</v>
      </c>
      <c r="H11" s="143">
        <f>'[2]SHEET 01'!H10</f>
        <v>2206.62</v>
      </c>
      <c r="I11" s="144">
        <v>2237.3000000000002</v>
      </c>
      <c r="J11" s="143">
        <f>'SHEET 01 (2)'!I10</f>
        <v>30.08</v>
      </c>
      <c r="K11" s="142">
        <f t="shared" ref="K11:M13" si="5">K8</f>
        <v>107.20944</v>
      </c>
      <c r="L11" s="143">
        <f>'SHEET 01 (2)'!K10</f>
        <v>7.13</v>
      </c>
      <c r="M11" s="142">
        <f t="shared" si="5"/>
        <v>41.010839999999995</v>
      </c>
      <c r="N11" s="142">
        <f>'SHEET 01 (2)'!AA11</f>
        <v>17.809999999999999</v>
      </c>
      <c r="O11" s="142">
        <f t="shared" si="1"/>
        <v>260.02</v>
      </c>
      <c r="P11" s="143">
        <f>'[2]SHEET 01'!AC11+'[2]SHEET 01'!AD11</f>
        <v>70.543600266550243</v>
      </c>
      <c r="Q11" s="142">
        <f t="shared" si="0"/>
        <v>596.82245014708417</v>
      </c>
      <c r="R11" s="143">
        <f t="shared" si="3"/>
        <v>330.56360026655022</v>
      </c>
      <c r="S11" s="142">
        <f>'[2]SHEET 01'!Q10</f>
        <v>3558.1865932691462</v>
      </c>
      <c r="T11" s="143">
        <f>'[2]SHEET 01'!S10</f>
        <v>98.317204899009639</v>
      </c>
      <c r="U11" s="145">
        <f>'[2]SHEET 01'!T10</f>
        <v>1058.2863935329397</v>
      </c>
      <c r="V11" s="146">
        <v>2</v>
      </c>
      <c r="W11" s="147">
        <v>1</v>
      </c>
      <c r="X11" s="148">
        <f t="shared" ref="X11:Y17" si="6">X8</f>
        <v>162.21348</v>
      </c>
      <c r="Y11" s="148">
        <f t="shared" si="6"/>
        <v>434.60897014708416</v>
      </c>
    </row>
    <row r="12" spans="1:25" ht="24.95" customHeight="1">
      <c r="A12" s="139">
        <f t="shared" si="2"/>
        <v>5</v>
      </c>
      <c r="B12" s="206"/>
      <c r="C12" s="140" t="s">
        <v>102</v>
      </c>
      <c r="D12" s="141" t="s">
        <v>104</v>
      </c>
      <c r="E12" s="141" t="s">
        <v>98</v>
      </c>
      <c r="F12" s="142">
        <f t="shared" si="4"/>
        <v>2396.9275199999997</v>
      </c>
      <c r="G12" s="143">
        <f>'SHEET 01 (2)'!G11</f>
        <v>175.65</v>
      </c>
      <c r="H12" s="143">
        <f>'[2]SHEET 01'!H11</f>
        <v>1890.6966</v>
      </c>
      <c r="I12" s="144">
        <v>2154.5700000000002</v>
      </c>
      <c r="J12" s="143">
        <f>'SHEET 01 (2)'!I11</f>
        <v>7.58</v>
      </c>
      <c r="K12" s="142">
        <f t="shared" si="5"/>
        <v>112.05323999999999</v>
      </c>
      <c r="L12" s="143">
        <f>'SHEET 01 (2)'!K11</f>
        <v>6.37</v>
      </c>
      <c r="M12" s="142">
        <f t="shared" si="5"/>
        <v>51.451920000000001</v>
      </c>
      <c r="N12" s="142">
        <f>'SHEET 01 (2)'!AA12</f>
        <v>12.62</v>
      </c>
      <c r="O12" s="142">
        <f t="shared" si="1"/>
        <v>202.22000000000003</v>
      </c>
      <c r="P12" s="143">
        <f>'[2]SHEET 01'!AC12+'[2]SHEET 01'!AD12</f>
        <v>57.868999574898325</v>
      </c>
      <c r="Q12" s="142">
        <f t="shared" si="0"/>
        <v>560.7772990828862</v>
      </c>
      <c r="R12" s="143">
        <f t="shared" si="3"/>
        <v>260.08899957489837</v>
      </c>
      <c r="S12" s="142">
        <f>'[2]SHEET 01'!Q11</f>
        <v>2799.5979914242057</v>
      </c>
      <c r="T12" s="143">
        <f>'[2]SHEET 01'!S11</f>
        <v>77.356440462786381</v>
      </c>
      <c r="U12" s="145">
        <f>'[2]SHEET 01'!T11</f>
        <v>832.66472514143254</v>
      </c>
      <c r="V12" s="146">
        <v>1</v>
      </c>
      <c r="W12" s="147">
        <v>1</v>
      </c>
      <c r="X12" s="148">
        <f t="shared" si="6"/>
        <v>144.56052</v>
      </c>
      <c r="Y12" s="148">
        <f t="shared" si="6"/>
        <v>416.21677908288615</v>
      </c>
    </row>
    <row r="13" spans="1:25" ht="24.95" customHeight="1">
      <c r="A13" s="139">
        <f t="shared" si="2"/>
        <v>6</v>
      </c>
      <c r="B13" s="206"/>
      <c r="C13" s="140" t="s">
        <v>102</v>
      </c>
      <c r="D13" s="141" t="s">
        <v>105</v>
      </c>
      <c r="E13" s="141" t="s">
        <v>101</v>
      </c>
      <c r="F13" s="142">
        <f t="shared" si="4"/>
        <v>1781.8725599999998</v>
      </c>
      <c r="G13" s="143">
        <f>'SHEET 01 (2)'!G12</f>
        <v>187.6</v>
      </c>
      <c r="H13" s="143">
        <f>'[2]SHEET 01'!H12</f>
        <v>2019.3263999999999</v>
      </c>
      <c r="I13" s="144">
        <v>1600.92</v>
      </c>
      <c r="J13" s="143">
        <f>'SHEET 01 (2)'!I12</f>
        <v>9.3800000000000008</v>
      </c>
      <c r="K13" s="142">
        <f t="shared" si="5"/>
        <v>72.441720000000004</v>
      </c>
      <c r="L13" s="143">
        <f>'SHEET 01 (2)'!K12</f>
        <v>6.73</v>
      </c>
      <c r="M13" s="142">
        <f t="shared" si="5"/>
        <v>42.194879999999998</v>
      </c>
      <c r="N13" s="142">
        <f>'SHEET 01 (2)'!AA13</f>
        <v>14.23</v>
      </c>
      <c r="O13" s="142">
        <f t="shared" si="1"/>
        <v>217.93999999999997</v>
      </c>
      <c r="P13" s="143">
        <f>'[2]SHEET 01'!AC13+'[2]SHEET 01'!AD13</f>
        <v>64.607938256853316</v>
      </c>
      <c r="Q13" s="142">
        <f t="shared" si="0"/>
        <v>429.1106504031838</v>
      </c>
      <c r="R13" s="143">
        <f t="shared" si="3"/>
        <v>282.54793825685329</v>
      </c>
      <c r="S13" s="142">
        <f>'[2]SHEET 01'!Q12</f>
        <v>3041.3460073967685</v>
      </c>
      <c r="T13" s="143">
        <f>'[2]SHEET 01'!S12</f>
        <v>84.03624451389048</v>
      </c>
      <c r="U13" s="145">
        <f>'[2]SHEET 01'!T12</f>
        <v>904.56613594751707</v>
      </c>
      <c r="V13" s="146">
        <v>3</v>
      </c>
      <c r="W13" s="147">
        <v>0</v>
      </c>
      <c r="X13" s="148">
        <f t="shared" si="6"/>
        <v>119.69567999999998</v>
      </c>
      <c r="Y13" s="148">
        <f t="shared" si="6"/>
        <v>309.41497040318382</v>
      </c>
    </row>
    <row r="14" spans="1:25" ht="24.95" customHeight="1">
      <c r="A14" s="139">
        <f t="shared" si="2"/>
        <v>7</v>
      </c>
      <c r="B14" s="206"/>
      <c r="C14" s="140" t="s">
        <v>106</v>
      </c>
      <c r="D14" s="141" t="s">
        <v>107</v>
      </c>
      <c r="E14" s="141" t="s">
        <v>98</v>
      </c>
      <c r="F14" s="142">
        <f>F8</f>
        <v>2502.84528</v>
      </c>
      <c r="G14" s="143">
        <f>'SHEET 01 (2)'!G13</f>
        <v>203.98</v>
      </c>
      <c r="H14" s="143">
        <f>'[2]SHEET 01'!H13</f>
        <v>2195.6407199999999</v>
      </c>
      <c r="I14" s="144">
        <v>2237.3000000000002</v>
      </c>
      <c r="J14" s="143">
        <f>'SHEET 01 (2)'!I13</f>
        <v>10.3</v>
      </c>
      <c r="K14" s="142">
        <f t="shared" ref="K14:M16" si="7">K8</f>
        <v>107.20944</v>
      </c>
      <c r="L14" s="143">
        <f>'SHEET 01 (2)'!K13</f>
        <v>7.13</v>
      </c>
      <c r="M14" s="142">
        <f t="shared" si="7"/>
        <v>41.010839999999995</v>
      </c>
      <c r="N14" s="142">
        <f>'SHEET 01 (2)'!AA14</f>
        <v>18.57</v>
      </c>
      <c r="O14" s="142">
        <f t="shared" si="1"/>
        <v>239.98</v>
      </c>
      <c r="P14" s="143">
        <f>'[2]SHEET 01'!AC14+'[2]SHEET 01'!AD14</f>
        <v>65.55150175785289</v>
      </c>
      <c r="Q14" s="142">
        <f t="shared" si="0"/>
        <v>596.82245014708417</v>
      </c>
      <c r="R14" s="143">
        <f t="shared" si="3"/>
        <v>305.53150175785288</v>
      </c>
      <c r="S14" s="142">
        <f>'[2]SHEET 01'!Q13</f>
        <v>3288.741084921528</v>
      </c>
      <c r="T14" s="143">
        <f>'[2]SHEET 01'!S13</f>
        <v>90.872084032261782</v>
      </c>
      <c r="U14" s="145">
        <f>'[2]SHEET 01'!T13</f>
        <v>978.14711252326572</v>
      </c>
      <c r="V14" s="146">
        <v>3</v>
      </c>
      <c r="W14" s="147">
        <v>0</v>
      </c>
      <c r="X14" s="148">
        <f>X8</f>
        <v>162.21348</v>
      </c>
      <c r="Y14" s="148">
        <f t="shared" si="6"/>
        <v>434.60897014708416</v>
      </c>
    </row>
    <row r="15" spans="1:25" ht="24.95" customHeight="1">
      <c r="A15" s="139">
        <f t="shared" si="2"/>
        <v>8</v>
      </c>
      <c r="B15" s="206"/>
      <c r="C15" s="140" t="s">
        <v>106</v>
      </c>
      <c r="D15" s="141" t="s">
        <v>108</v>
      </c>
      <c r="E15" s="141" t="s">
        <v>98</v>
      </c>
      <c r="F15" s="142">
        <f>F9</f>
        <v>2396.9275199999997</v>
      </c>
      <c r="G15" s="143">
        <f>'SHEET 01 (2)'!G14</f>
        <v>185.3</v>
      </c>
      <c r="H15" s="143">
        <f>'[2]SHEET 01'!H14</f>
        <v>1994.5691999999999</v>
      </c>
      <c r="I15" s="144">
        <v>2154.5700000000002</v>
      </c>
      <c r="J15" s="143">
        <f>'SHEET 01 (2)'!I14</f>
        <v>7.58</v>
      </c>
      <c r="K15" s="142">
        <f t="shared" si="7"/>
        <v>112.05323999999999</v>
      </c>
      <c r="L15" s="143">
        <f>'SHEET 01 (2)'!K14</f>
        <v>6.37</v>
      </c>
      <c r="M15" s="142">
        <f t="shared" si="7"/>
        <v>51.451920000000001</v>
      </c>
      <c r="N15" s="142">
        <f>'SHEET 01 (2)'!AA15</f>
        <v>12.53</v>
      </c>
      <c r="O15" s="142">
        <f t="shared" si="1"/>
        <v>211.78000000000003</v>
      </c>
      <c r="P15" s="143">
        <f>'[2]SHEET 01'!AC15+'[2]SHEET 01'!AD15</f>
        <v>59.550959982995934</v>
      </c>
      <c r="Q15" s="142">
        <f t="shared" si="0"/>
        <v>560.7772990828862</v>
      </c>
      <c r="R15" s="143">
        <f t="shared" si="3"/>
        <v>271.33095998299598</v>
      </c>
      <c r="S15" s="142">
        <f>'[2]SHEET 01'!Q14</f>
        <v>2920.6064532569685</v>
      </c>
      <c r="T15" s="143">
        <f>'[2]SHEET 01'!S14</f>
        <v>80.700057618511465</v>
      </c>
      <c r="U15" s="145">
        <f>'[2]SHEET 01'!T14</f>
        <v>868.65542020565738</v>
      </c>
      <c r="V15" s="146">
        <v>2</v>
      </c>
      <c r="W15" s="147">
        <v>0</v>
      </c>
      <c r="X15" s="148">
        <f>X9</f>
        <v>144.56052</v>
      </c>
      <c r="Y15" s="148">
        <f t="shared" si="6"/>
        <v>416.21677908288615</v>
      </c>
    </row>
    <row r="16" spans="1:25" ht="24.95" customHeight="1">
      <c r="A16" s="139">
        <f t="shared" si="2"/>
        <v>9</v>
      </c>
      <c r="B16" s="206"/>
      <c r="C16" s="140" t="s">
        <v>106</v>
      </c>
      <c r="D16" s="141" t="s">
        <v>109</v>
      </c>
      <c r="E16" s="141" t="s">
        <v>101</v>
      </c>
      <c r="F16" s="142">
        <f>F10</f>
        <v>1781.8725599999998</v>
      </c>
      <c r="G16" s="143">
        <f>'SHEET 01 (2)'!G15</f>
        <v>187.66</v>
      </c>
      <c r="H16" s="143">
        <f>'[2]SHEET 01'!H15</f>
        <v>2019.9722399999998</v>
      </c>
      <c r="I16" s="144">
        <v>1600.92</v>
      </c>
      <c r="J16" s="143">
        <f>'SHEET 01 (2)'!I15</f>
        <v>9.3800000000000008</v>
      </c>
      <c r="K16" s="142">
        <f t="shared" si="7"/>
        <v>72.441720000000004</v>
      </c>
      <c r="L16" s="143">
        <f>'SHEET 01 (2)'!K15</f>
        <v>6.73</v>
      </c>
      <c r="M16" s="142">
        <f t="shared" si="7"/>
        <v>42.194879999999998</v>
      </c>
      <c r="N16" s="142">
        <f>'SHEET 01 (2)'!AA16</f>
        <v>14.18</v>
      </c>
      <c r="O16" s="142">
        <f t="shared" si="1"/>
        <v>217.95</v>
      </c>
      <c r="P16" s="143">
        <f>'[2]SHEET 01'!AC16+'[2]SHEET 01'!AD16</f>
        <v>64.610429323973435</v>
      </c>
      <c r="Q16" s="142">
        <f t="shared" si="0"/>
        <v>429.1106504031838</v>
      </c>
      <c r="R16" s="143">
        <f t="shared" si="3"/>
        <v>282.56042932397344</v>
      </c>
      <c r="S16" s="142">
        <f>'[2]SHEET 01'!Q15</f>
        <v>3041.4804612432499</v>
      </c>
      <c r="T16" s="143">
        <f>'[2]SHEET 01'!S15</f>
        <v>84.039959644063515</v>
      </c>
      <c r="U16" s="145">
        <f>'[2]SHEET 01'!T15</f>
        <v>904.60612560869959</v>
      </c>
      <c r="V16" s="146">
        <v>2</v>
      </c>
      <c r="W16" s="147">
        <v>1</v>
      </c>
      <c r="X16" s="148">
        <f>X10</f>
        <v>119.69567999999998</v>
      </c>
      <c r="Y16" s="148">
        <f t="shared" si="6"/>
        <v>309.41497040318382</v>
      </c>
    </row>
    <row r="17" spans="1:25" ht="24.95" customHeight="1">
      <c r="A17" s="139">
        <f t="shared" si="2"/>
        <v>10</v>
      </c>
      <c r="B17" s="206"/>
      <c r="C17" s="140" t="s">
        <v>110</v>
      </c>
      <c r="D17" s="141" t="s">
        <v>128</v>
      </c>
      <c r="E17" s="141" t="s">
        <v>98</v>
      </c>
      <c r="F17" s="142">
        <f>F8</f>
        <v>2502.84528</v>
      </c>
      <c r="G17" s="143">
        <f>'SHEET 01 (2)'!G16</f>
        <v>207.91</v>
      </c>
      <c r="H17" s="143">
        <f>'[2]SHEET 01'!H16</f>
        <v>4354.1456399999997</v>
      </c>
      <c r="I17" s="144">
        <v>2237.3000000000002</v>
      </c>
      <c r="J17" s="143">
        <f>'SHEET 01 (2)'!I16</f>
        <v>16.97</v>
      </c>
      <c r="K17" s="142">
        <f t="shared" ref="K17:M17" si="8">K8</f>
        <v>107.20944</v>
      </c>
      <c r="L17" s="143">
        <f>'SHEET 01 (2)'!K16</f>
        <v>11.08</v>
      </c>
      <c r="M17" s="142">
        <f t="shared" si="8"/>
        <v>41.010839999999995</v>
      </c>
      <c r="N17" s="142">
        <f>'SHEET 01 (2)'!AA17</f>
        <v>16.850000000000001</v>
      </c>
      <c r="O17" s="142">
        <f t="shared" si="1"/>
        <v>252.81</v>
      </c>
      <c r="P17" s="143">
        <f>'SHEET 01 (2)'!M16-'SHEET 01 (2)'!AA17</f>
        <v>66.499148791332487</v>
      </c>
      <c r="Q17" s="142">
        <f t="shared" si="0"/>
        <v>596.82245014708417</v>
      </c>
      <c r="R17" s="143">
        <f t="shared" si="3"/>
        <v>319.30914879133252</v>
      </c>
      <c r="S17" s="142">
        <f>'[2]SHEET 01'!Q16</f>
        <v>6492.3728850206799</v>
      </c>
      <c r="T17" s="143">
        <f>'[2]SHEET 01'!S16</f>
        <v>179.39249066499687</v>
      </c>
      <c r="U17" s="145">
        <f>'[2]SHEET 01'!T16</f>
        <v>1930.9807695180261</v>
      </c>
      <c r="V17" s="146">
        <v>1</v>
      </c>
      <c r="W17" s="147">
        <v>2</v>
      </c>
      <c r="X17" s="148">
        <f>X8</f>
        <v>162.21348</v>
      </c>
      <c r="Y17" s="148">
        <f t="shared" si="6"/>
        <v>434.60897014708416</v>
      </c>
    </row>
    <row r="18" spans="1:25" ht="24.95" customHeight="1">
      <c r="A18" s="139">
        <f t="shared" si="2"/>
        <v>11</v>
      </c>
      <c r="B18" s="206"/>
      <c r="C18" s="140" t="s">
        <v>110</v>
      </c>
      <c r="D18" s="141" t="s">
        <v>129</v>
      </c>
      <c r="E18" s="141" t="s">
        <v>101</v>
      </c>
      <c r="F18" s="142"/>
      <c r="G18" s="143">
        <f>'SHEET 01 (2)'!G17</f>
        <v>196.6</v>
      </c>
      <c r="H18" s="143"/>
      <c r="I18" s="144"/>
      <c r="J18" s="143">
        <f>'SHEET 01 (2)'!I17</f>
        <v>14.78</v>
      </c>
      <c r="K18" s="142"/>
      <c r="L18" s="143">
        <f>'SHEET 01 (2)'!K17</f>
        <v>0</v>
      </c>
      <c r="M18" s="142"/>
      <c r="N18" s="142">
        <f>'SHEET 01 (2)'!AA18</f>
        <v>12.47</v>
      </c>
      <c r="O18" s="142">
        <f t="shared" si="1"/>
        <v>223.85</v>
      </c>
      <c r="P18" s="143">
        <f>'SHEET 01 (2)'!M17-'SHEET 01 (2)'!AA18</f>
        <v>59.997009237344599</v>
      </c>
      <c r="Q18" s="142"/>
      <c r="R18" s="143">
        <f t="shared" si="3"/>
        <v>283.84700923734459</v>
      </c>
      <c r="S18" s="142"/>
      <c r="T18" s="143">
        <f>'[2]SHEET 01'!S17</f>
        <v>83.876493916450286</v>
      </c>
      <c r="U18" s="145"/>
      <c r="V18" s="146">
        <v>1</v>
      </c>
      <c r="W18" s="147">
        <v>1</v>
      </c>
      <c r="X18" s="148"/>
      <c r="Y18" s="148"/>
    </row>
    <row r="19" spans="1:25" ht="24.95" customHeight="1">
      <c r="A19" s="139">
        <f t="shared" si="2"/>
        <v>12</v>
      </c>
      <c r="B19" s="206"/>
      <c r="C19" s="140" t="s">
        <v>110</v>
      </c>
      <c r="D19" s="141" t="s">
        <v>111</v>
      </c>
      <c r="E19" s="141" t="s">
        <v>101</v>
      </c>
      <c r="F19" s="142">
        <f>F10</f>
        <v>1781.8725599999998</v>
      </c>
      <c r="G19" s="143">
        <f>'SHEET 01 (2)'!G18</f>
        <v>186.97</v>
      </c>
      <c r="H19" s="143">
        <f>'[2]SHEET 01'!H17</f>
        <v>2012.5450799999999</v>
      </c>
      <c r="I19" s="144">
        <v>1600.92</v>
      </c>
      <c r="J19" s="143">
        <f>'SHEET 01 (2)'!I18</f>
        <v>9.3800000000000008</v>
      </c>
      <c r="K19" s="142">
        <f>K10</f>
        <v>72.441720000000004</v>
      </c>
      <c r="L19" s="143">
        <f>'SHEET 01 (2)'!K18</f>
        <v>6.73</v>
      </c>
      <c r="M19" s="142">
        <f>M10</f>
        <v>42.194879999999998</v>
      </c>
      <c r="N19" s="142">
        <f>'SHEET 01 (2)'!AA19</f>
        <v>14.43</v>
      </c>
      <c r="O19" s="142">
        <f t="shared" si="1"/>
        <v>217.51</v>
      </c>
      <c r="P19" s="143">
        <f>'SHEET 01 (2)'!M18-'SHEET 01 (2)'!AA19</f>
        <v>64.500822370688695</v>
      </c>
      <c r="Q19" s="142">
        <f t="shared" si="0"/>
        <v>429.1106504031838</v>
      </c>
      <c r="R19" s="143">
        <f t="shared" si="3"/>
        <v>282.01082237068869</v>
      </c>
      <c r="S19" s="142">
        <f>'[2]SHEET 01'!Q17</f>
        <v>3035.5644919980923</v>
      </c>
      <c r="T19" s="143">
        <f>'[2]SHEET 01'!S18</f>
        <v>175.05321862290035</v>
      </c>
      <c r="U19" s="145">
        <f>'[2]SHEET 01'!T17</f>
        <v>902.84658051667088</v>
      </c>
      <c r="V19" s="146">
        <v>2</v>
      </c>
      <c r="W19" s="147">
        <v>1</v>
      </c>
      <c r="X19" s="148">
        <f>X10</f>
        <v>119.69567999999998</v>
      </c>
      <c r="Y19" s="148">
        <f>Y16</f>
        <v>309.41497040318382</v>
      </c>
    </row>
    <row r="20" spans="1:25" ht="24.95" customHeight="1">
      <c r="A20" s="139">
        <f t="shared" si="2"/>
        <v>13</v>
      </c>
      <c r="B20" s="206"/>
      <c r="C20" s="140" t="s">
        <v>112</v>
      </c>
      <c r="D20" s="141" t="s">
        <v>130</v>
      </c>
      <c r="E20" s="141" t="s">
        <v>98</v>
      </c>
      <c r="F20" s="142">
        <f>F8</f>
        <v>2502.84528</v>
      </c>
      <c r="G20" s="143">
        <f>'SHEET 01 (2)'!G19</f>
        <v>220.47</v>
      </c>
      <c r="H20" s="143">
        <f>G20*10.769</f>
        <v>2374.24143</v>
      </c>
      <c r="I20" s="144">
        <v>2237.3000000000002</v>
      </c>
      <c r="J20" s="143">
        <f>'SHEET 01 (2)'!I19</f>
        <v>1.97</v>
      </c>
      <c r="K20" s="143">
        <f>'[2]SHEET 01'!J18</f>
        <v>124.97003999999998</v>
      </c>
      <c r="L20" s="143">
        <f>'SHEET 01 (2)'!K19</f>
        <v>7.14</v>
      </c>
      <c r="M20" s="143">
        <f>'[2]SHEET 01'!L18</f>
        <v>76.854959999999991</v>
      </c>
      <c r="N20" s="142">
        <f>'SHEET 01 (2)'!AA20</f>
        <v>16.3</v>
      </c>
      <c r="O20" s="142">
        <f t="shared" si="1"/>
        <v>245.88</v>
      </c>
      <c r="P20" s="143">
        <f>'SHEET 01 (2)'!M19-'SHEET 01 (2)'!AA20</f>
        <v>64.97269635101911</v>
      </c>
      <c r="Q20" s="143">
        <f>'[2]SHEET 01'!N18</f>
        <v>152.69659163239044</v>
      </c>
      <c r="R20" s="143">
        <f t="shared" si="3"/>
        <v>310.85269635101912</v>
      </c>
      <c r="S20" s="142">
        <f>'[2]SHEET 01'!Q18</f>
        <v>6335.3307923310504</v>
      </c>
      <c r="T20" s="143">
        <f>'[2]SHEET 01'!S19</f>
        <v>83.876493916450286</v>
      </c>
      <c r="U20" s="145">
        <f>'[2]SHEET 01'!T18</f>
        <v>1884.2728452568992</v>
      </c>
      <c r="V20" s="146">
        <v>1</v>
      </c>
      <c r="W20" s="147">
        <v>2</v>
      </c>
      <c r="X20" s="148">
        <f>X8</f>
        <v>162.21348</v>
      </c>
      <c r="Y20" s="148">
        <f>Y17</f>
        <v>434.60897014708416</v>
      </c>
    </row>
    <row r="21" spans="1:25" ht="24.95" customHeight="1">
      <c r="A21" s="139">
        <f t="shared" si="2"/>
        <v>14</v>
      </c>
      <c r="B21" s="206"/>
      <c r="C21" s="140" t="s">
        <v>112</v>
      </c>
      <c r="D21" s="141" t="s">
        <v>131</v>
      </c>
      <c r="E21" s="141" t="s">
        <v>101</v>
      </c>
      <c r="F21" s="142"/>
      <c r="G21" s="143">
        <f>'SHEET 01 (2)'!G20</f>
        <v>196.65</v>
      </c>
      <c r="H21" s="143"/>
      <c r="I21" s="144"/>
      <c r="J21" s="143">
        <f>'SHEET 01 (2)'!I20</f>
        <v>9.64</v>
      </c>
      <c r="K21" s="143"/>
      <c r="L21" s="143">
        <f>'SHEET 01 (2)'!K20</f>
        <v>0</v>
      </c>
      <c r="M21" s="143"/>
      <c r="N21" s="142">
        <f>'SHEET 01 (2)'!AA21</f>
        <v>12.6</v>
      </c>
      <c r="O21" s="142">
        <f t="shared" si="1"/>
        <v>218.89000000000001</v>
      </c>
      <c r="P21" s="143">
        <f>'SHEET 01 (2)'!M20-'SHEET 01 (2)'!AA21</f>
        <v>58.823895281371399</v>
      </c>
      <c r="Q21" s="143"/>
      <c r="R21" s="143">
        <f t="shared" si="3"/>
        <v>277.71389528137144</v>
      </c>
      <c r="S21" s="142"/>
      <c r="T21" s="143">
        <f>'[2]SHEET 01'!S20</f>
        <v>0</v>
      </c>
      <c r="U21" s="145"/>
      <c r="V21" s="146">
        <v>1</v>
      </c>
      <c r="W21" s="147">
        <v>1</v>
      </c>
      <c r="X21" s="148"/>
      <c r="Y21" s="148"/>
    </row>
    <row r="22" spans="1:25" ht="24.95" customHeight="1">
      <c r="A22" s="139">
        <f t="shared" si="2"/>
        <v>15</v>
      </c>
      <c r="B22" s="206"/>
      <c r="C22" s="140" t="s">
        <v>112</v>
      </c>
      <c r="D22" s="141" t="s">
        <v>113</v>
      </c>
      <c r="E22" s="141" t="s">
        <v>101</v>
      </c>
      <c r="F22" s="142">
        <f>F10</f>
        <v>1781.8725599999998</v>
      </c>
      <c r="G22" s="143">
        <f>'SHEET 01 (2)'!G21</f>
        <v>186.97</v>
      </c>
      <c r="H22" s="143">
        <f>G22*10.769</f>
        <v>2013.47993</v>
      </c>
      <c r="I22" s="143">
        <f t="shared" ref="I22" si="9">I19</f>
        <v>1600.92</v>
      </c>
      <c r="J22" s="143">
        <f>'SHEET 01 (2)'!I21</f>
        <v>9.3800000000000008</v>
      </c>
      <c r="K22" s="143">
        <f t="shared" ref="K22:Q22" si="10">K19</f>
        <v>72.441720000000004</v>
      </c>
      <c r="L22" s="143">
        <f>'SHEET 01 (2)'!K21</f>
        <v>6.73</v>
      </c>
      <c r="M22" s="143">
        <f t="shared" si="10"/>
        <v>42.194879999999998</v>
      </c>
      <c r="N22" s="142">
        <f>'SHEET 01 (2)'!AA22</f>
        <v>14.43</v>
      </c>
      <c r="O22" s="142">
        <f t="shared" si="1"/>
        <v>217.51</v>
      </c>
      <c r="P22" s="143">
        <f>'SHEET 01 (2)'!M21-'SHEET 01 (2)'!AA22</f>
        <v>64.500822370688695</v>
      </c>
      <c r="Q22" s="143">
        <f t="shared" si="10"/>
        <v>429.1106504031838</v>
      </c>
      <c r="R22" s="143">
        <f t="shared" si="3"/>
        <v>282.01082237068869</v>
      </c>
      <c r="S22" s="142">
        <f>'[2]SHEET 01'!Q19</f>
        <v>3035.5644919980923</v>
      </c>
      <c r="T22" s="143">
        <f>'[2]SHEET 01'!S21</f>
        <v>0</v>
      </c>
      <c r="U22" s="145">
        <f>'[2]SHEET 01'!T19</f>
        <v>902.84658051667088</v>
      </c>
      <c r="V22" s="146">
        <v>2</v>
      </c>
      <c r="W22" s="147">
        <v>1</v>
      </c>
      <c r="X22" s="148">
        <f>X10</f>
        <v>119.69567999999998</v>
      </c>
      <c r="Y22" s="148">
        <f>Y19</f>
        <v>309.41497040318382</v>
      </c>
    </row>
    <row r="23" spans="1:25" ht="24.95" customHeight="1">
      <c r="A23" s="149"/>
      <c r="B23" s="149"/>
      <c r="C23" s="150"/>
      <c r="D23" s="149"/>
      <c r="E23" s="149"/>
      <c r="F23" s="151"/>
      <c r="G23" s="151"/>
      <c r="H23" s="152"/>
      <c r="I23" s="153"/>
      <c r="J23" s="153"/>
      <c r="K23" s="152"/>
      <c r="L23" s="152"/>
      <c r="M23" s="152"/>
      <c r="N23" s="152"/>
      <c r="O23" s="152"/>
      <c r="P23" s="152"/>
      <c r="Q23" s="152"/>
      <c r="R23" s="152"/>
      <c r="S23" s="154"/>
      <c r="T23" s="155" t="s">
        <v>134</v>
      </c>
      <c r="U23" s="155"/>
      <c r="V23" s="156">
        <v>4</v>
      </c>
      <c r="W23" s="147"/>
      <c r="X23" s="157"/>
      <c r="Y23" s="158"/>
    </row>
    <row r="24" spans="1:25" ht="24.95" customHeight="1">
      <c r="A24" s="207"/>
      <c r="B24" s="208"/>
      <c r="C24" s="208"/>
      <c r="D24" s="208"/>
      <c r="E24" s="208"/>
      <c r="F24" s="200">
        <f>SUM(F8:F22)</f>
        <v>28614.371760000002</v>
      </c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160">
        <f>SUM(S8:S22)</f>
        <v>46810.375559999993</v>
      </c>
      <c r="T24" s="159" t="s">
        <v>133</v>
      </c>
      <c r="U24" s="161">
        <f>SUM(U8:U22)</f>
        <v>13922.480519999999</v>
      </c>
      <c r="V24" s="161">
        <f>SUM(V8:V23)</f>
        <v>31</v>
      </c>
      <c r="W24" s="161">
        <f>SUM(W8:W23)</f>
        <v>13</v>
      </c>
      <c r="X24" s="162"/>
      <c r="Y24" s="163">
        <f>SUM(Y8:Y22)</f>
        <v>4968.7700399999994</v>
      </c>
    </row>
    <row r="25" spans="1:25" ht="31.5" hidden="1" customHeight="1">
      <c r="A25" s="164"/>
      <c r="B25" s="165"/>
      <c r="C25" s="164"/>
      <c r="D25" s="164"/>
      <c r="E25" s="164"/>
      <c r="F25" s="166"/>
      <c r="G25" s="166"/>
      <c r="H25" s="164"/>
      <c r="I25" s="164"/>
      <c r="J25" s="164"/>
      <c r="K25" s="164"/>
      <c r="L25" s="164"/>
      <c r="M25" s="167"/>
      <c r="N25" s="167"/>
      <c r="O25" s="167"/>
      <c r="P25" s="167"/>
      <c r="Q25" s="168"/>
      <c r="R25" s="168"/>
      <c r="S25" s="169"/>
      <c r="T25" s="170">
        <f>SUM(T8:T24)</f>
        <v>1293.4300000000003</v>
      </c>
      <c r="U25" s="171"/>
      <c r="V25" s="171"/>
      <c r="W25" s="172"/>
      <c r="X25" s="164"/>
      <c r="Y25" s="164"/>
    </row>
    <row r="26" spans="1:25" ht="55.5" hidden="1" customHeight="1">
      <c r="A26" s="209" t="s">
        <v>114</v>
      </c>
      <c r="B26" s="210"/>
      <c r="C26" s="210"/>
      <c r="D26" s="172"/>
      <c r="E26" s="172"/>
      <c r="F26" s="173"/>
      <c r="G26" s="173"/>
      <c r="H26" s="173"/>
      <c r="I26" s="173"/>
      <c r="J26" s="173"/>
      <c r="K26" s="174"/>
      <c r="L26" s="174"/>
      <c r="M26" s="175" t="s">
        <v>115</v>
      </c>
      <c r="N26" s="175"/>
      <c r="O26" s="175"/>
      <c r="P26" s="175"/>
      <c r="Q26" s="175" t="s">
        <v>116</v>
      </c>
      <c r="R26" s="175"/>
      <c r="S26" s="174"/>
      <c r="T26" s="173"/>
      <c r="U26" s="173"/>
      <c r="V26" s="176"/>
      <c r="W26" s="172"/>
      <c r="X26" s="172"/>
      <c r="Y26" s="174"/>
    </row>
    <row r="27" spans="1:25" ht="24.95" hidden="1" customHeight="1">
      <c r="A27" s="177">
        <v>1</v>
      </c>
      <c r="B27" s="178" t="s">
        <v>117</v>
      </c>
      <c r="C27" s="179">
        <f>SUM('[1]SALEABLE AREAS'!C22:C26)</f>
        <v>1898.7696000000001</v>
      </c>
      <c r="D27" s="173"/>
      <c r="E27" s="172"/>
      <c r="F27" s="173"/>
      <c r="G27" s="173"/>
      <c r="H27" s="174"/>
      <c r="I27" s="173"/>
      <c r="J27" s="173"/>
      <c r="K27" s="180" t="s">
        <v>118</v>
      </c>
      <c r="L27" s="180"/>
      <c r="M27" s="181" t="e">
        <f>#REF!*6</f>
        <v>#REF!</v>
      </c>
      <c r="N27" s="181"/>
      <c r="O27" s="181"/>
      <c r="P27" s="181"/>
      <c r="Q27" s="181">
        <f>S8*6</f>
        <v>20506.093942179967</v>
      </c>
      <c r="R27" s="181"/>
      <c r="S27" s="173"/>
      <c r="T27" s="173"/>
      <c r="U27" s="173"/>
      <c r="V27" s="176"/>
      <c r="W27" s="172"/>
      <c r="X27" s="172"/>
      <c r="Y27" s="176"/>
    </row>
    <row r="28" spans="1:25" ht="24.95" hidden="1" customHeight="1">
      <c r="A28" s="177">
        <v>2</v>
      </c>
      <c r="B28" s="178" t="s">
        <v>119</v>
      </c>
      <c r="C28" s="179">
        <f>'[1]SALEABLE AREAS'!C30</f>
        <v>959.61059999999998</v>
      </c>
      <c r="D28" s="173"/>
      <c r="E28" s="172"/>
      <c r="F28" s="173"/>
      <c r="G28" s="173"/>
      <c r="H28" s="174"/>
      <c r="I28" s="173"/>
      <c r="J28" s="173"/>
      <c r="K28" s="180" t="s">
        <v>120</v>
      </c>
      <c r="L28" s="180"/>
      <c r="M28" s="181" t="e">
        <f>#REF!*6</f>
        <v>#REF!</v>
      </c>
      <c r="N28" s="181"/>
      <c r="O28" s="181"/>
      <c r="P28" s="181"/>
      <c r="Q28" s="181">
        <f>S10*6</f>
        <v>18271.471013668281</v>
      </c>
      <c r="R28" s="181"/>
      <c r="S28" s="173"/>
      <c r="T28" s="173"/>
      <c r="U28" s="173"/>
      <c r="V28" s="176"/>
      <c r="W28" s="172"/>
      <c r="X28" s="172"/>
      <c r="Y28" s="176"/>
    </row>
    <row r="29" spans="1:25" ht="24.95" hidden="1" customHeight="1">
      <c r="A29" s="177">
        <v>3</v>
      </c>
      <c r="B29" s="178" t="s">
        <v>121</v>
      </c>
      <c r="C29" s="179">
        <f>'[1]SALEABLE AREAS'!C28</f>
        <v>717.85115999999994</v>
      </c>
      <c r="D29" s="173"/>
      <c r="E29" s="172"/>
      <c r="F29" s="173"/>
      <c r="G29" s="173"/>
      <c r="H29" s="173"/>
      <c r="I29" s="173"/>
      <c r="J29" s="173"/>
      <c r="K29" s="182" t="s">
        <v>122</v>
      </c>
      <c r="L29" s="182"/>
      <c r="M29" s="181" t="e">
        <f>#REF!*11</f>
        <v>#REF!</v>
      </c>
      <c r="N29" s="181"/>
      <c r="O29" s="181"/>
      <c r="P29" s="181"/>
      <c r="Q29" s="181">
        <f>S9*11</f>
        <v>30785.224959487234</v>
      </c>
      <c r="R29" s="181"/>
      <c r="S29" s="183"/>
      <c r="T29" s="174"/>
      <c r="U29" s="174"/>
      <c r="V29" s="176"/>
      <c r="W29" s="172"/>
      <c r="X29" s="172"/>
      <c r="Y29" s="176"/>
    </row>
    <row r="30" spans="1:25" ht="24.95" hidden="1" customHeight="1">
      <c r="A30" s="177">
        <v>4</v>
      </c>
      <c r="B30" s="178" t="s">
        <v>123</v>
      </c>
      <c r="C30" s="179">
        <f>'[1]SALEABLE AREAS'!C29</f>
        <v>269.09999999999997</v>
      </c>
      <c r="D30" s="173"/>
      <c r="E30" s="172"/>
      <c r="F30" s="173"/>
      <c r="G30" s="173"/>
      <c r="H30" s="174"/>
      <c r="I30" s="173"/>
      <c r="J30" s="173"/>
      <c r="K30" s="174"/>
      <c r="L30" s="174"/>
      <c r="M30" s="184" t="s">
        <v>124</v>
      </c>
      <c r="N30" s="184"/>
      <c r="O30" s="184"/>
      <c r="P30" s="184"/>
      <c r="Q30" s="185">
        <f>SUM(Q27:Q29)</f>
        <v>69562.789915335481</v>
      </c>
      <c r="R30" s="185"/>
      <c r="S30" s="183"/>
      <c r="T30" s="174"/>
      <c r="U30" s="174"/>
      <c r="V30" s="176"/>
      <c r="W30" s="172"/>
      <c r="X30" s="172"/>
      <c r="Y30" s="176"/>
    </row>
    <row r="31" spans="1:25" ht="24.95" hidden="1" customHeight="1">
      <c r="A31" s="177">
        <v>5</v>
      </c>
      <c r="B31" s="178" t="s">
        <v>125</v>
      </c>
      <c r="C31" s="179">
        <f>'[1]SALEABLE AREAS'!C27</f>
        <v>348.00011999999998</v>
      </c>
      <c r="D31" s="172"/>
      <c r="E31" s="186"/>
      <c r="F31" s="186"/>
      <c r="G31" s="186"/>
      <c r="H31" s="173"/>
      <c r="I31" s="173"/>
      <c r="J31" s="173"/>
      <c r="K31" s="174"/>
      <c r="L31" s="174"/>
      <c r="M31" s="187"/>
      <c r="N31" s="187"/>
      <c r="O31" s="187"/>
      <c r="P31" s="187"/>
      <c r="Q31" s="173"/>
      <c r="R31" s="173"/>
      <c r="S31" s="173"/>
      <c r="T31" s="173"/>
      <c r="U31" s="188"/>
      <c r="V31" s="176"/>
      <c r="W31" s="172"/>
      <c r="X31" s="172"/>
      <c r="Y31" s="176"/>
    </row>
    <row r="32" spans="1:25" ht="24.95" hidden="1" customHeight="1">
      <c r="A32" s="177">
        <v>6</v>
      </c>
      <c r="B32" s="178" t="s">
        <v>126</v>
      </c>
      <c r="C32" s="179">
        <f>'[1]SALEABLE AREAS'!C31</f>
        <v>202.36320000000001</v>
      </c>
      <c r="D32" s="172"/>
      <c r="E32" s="186"/>
      <c r="F32" s="186"/>
      <c r="G32" s="186"/>
      <c r="H32" s="173"/>
      <c r="I32" s="173"/>
      <c r="J32" s="173"/>
      <c r="K32" s="174"/>
      <c r="L32" s="174"/>
      <c r="M32" s="187"/>
      <c r="N32" s="187"/>
      <c r="O32" s="187"/>
      <c r="P32" s="187"/>
      <c r="Q32" s="173"/>
      <c r="R32" s="173"/>
      <c r="S32" s="173"/>
      <c r="T32" s="173"/>
      <c r="U32" s="188"/>
      <c r="V32" s="176"/>
      <c r="W32" s="172"/>
      <c r="X32" s="172"/>
      <c r="Y32" s="176"/>
    </row>
    <row r="33" spans="1:25" ht="24.95" hidden="1" customHeight="1">
      <c r="A33" s="177">
        <v>7</v>
      </c>
      <c r="B33" s="178" t="str">
        <f>'[1]SALEABLE AREAS'!A32</f>
        <v>shaft</v>
      </c>
      <c r="C33" s="179">
        <f>'[1]SALEABLE AREAS'!C32</f>
        <v>573.07535999999993</v>
      </c>
      <c r="D33" s="172"/>
      <c r="E33" s="172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4"/>
      <c r="V33" s="176"/>
      <c r="W33" s="172"/>
      <c r="X33" s="172"/>
      <c r="Y33" s="176"/>
    </row>
    <row r="34" spans="1:25" ht="24.95" hidden="1" customHeight="1">
      <c r="A34" s="211" t="s">
        <v>127</v>
      </c>
      <c r="B34" s="210"/>
      <c r="C34" s="189">
        <f>SUM(C27:C33)</f>
        <v>4968.7700399999994</v>
      </c>
      <c r="D34" s="172"/>
      <c r="E34" s="172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4"/>
      <c r="V34" s="176"/>
      <c r="W34" s="172"/>
      <c r="X34" s="172"/>
      <c r="Y34" s="176"/>
    </row>
    <row r="35" spans="1:25" ht="24.95" hidden="1" customHeight="1">
      <c r="A35" s="190"/>
      <c r="B35" s="191"/>
      <c r="C35" s="192"/>
      <c r="D35" s="172"/>
      <c r="E35" s="172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4"/>
      <c r="V35" s="176"/>
      <c r="W35" s="172"/>
      <c r="X35" s="172"/>
      <c r="Y35" s="176"/>
    </row>
    <row r="36" spans="1:25" ht="24.95" hidden="1" customHeight="1">
      <c r="A36" s="173"/>
      <c r="B36" s="193"/>
      <c r="C36" s="194">
        <f>C34/F24</f>
        <v>0.17364595950856546</v>
      </c>
      <c r="D36" s="172"/>
      <c r="E36" s="172"/>
      <c r="F36" s="173"/>
      <c r="G36" s="173"/>
      <c r="H36" s="173"/>
      <c r="I36" s="176"/>
      <c r="J36" s="176"/>
      <c r="K36" s="172"/>
      <c r="L36" s="172"/>
      <c r="M36" s="172"/>
      <c r="N36" s="172"/>
      <c r="O36" s="172"/>
      <c r="P36" s="172"/>
      <c r="Q36" s="176"/>
      <c r="R36" s="176"/>
      <c r="S36" s="173"/>
      <c r="T36" s="173"/>
      <c r="U36" s="173"/>
      <c r="V36" s="176"/>
      <c r="W36" s="172"/>
      <c r="X36" s="172"/>
      <c r="Y36" s="176"/>
    </row>
    <row r="37" spans="1:25" ht="15.75" hidden="1" customHeight="1">
      <c r="A37" s="195"/>
      <c r="B37" s="195"/>
      <c r="C37" s="196"/>
      <c r="D37" s="195"/>
      <c r="E37" s="195"/>
      <c r="F37" s="197"/>
      <c r="G37" s="197"/>
      <c r="H37" s="198"/>
      <c r="I37" s="196"/>
      <c r="J37" s="196"/>
      <c r="K37" s="195"/>
      <c r="L37" s="195"/>
      <c r="M37" s="195"/>
      <c r="N37" s="195"/>
      <c r="O37" s="195"/>
      <c r="P37" s="195"/>
      <c r="Q37" s="196"/>
      <c r="R37" s="196"/>
      <c r="S37" s="197"/>
      <c r="T37" s="197"/>
      <c r="U37" s="197"/>
      <c r="V37" s="196"/>
      <c r="W37" s="195"/>
      <c r="X37" s="195"/>
      <c r="Y37" s="196"/>
    </row>
    <row r="38" spans="1:25" ht="15.75" hidden="1" customHeight="1">
      <c r="A38" s="195"/>
      <c r="B38" s="195"/>
      <c r="C38" s="196"/>
      <c r="D38" s="199"/>
      <c r="E38" s="199"/>
      <c r="F38" s="198"/>
      <c r="G38" s="198"/>
      <c r="H38" s="197"/>
      <c r="I38" s="196"/>
      <c r="J38" s="196"/>
      <c r="K38" s="195"/>
      <c r="L38" s="195"/>
      <c r="M38" s="195"/>
      <c r="N38" s="195"/>
      <c r="O38" s="195"/>
      <c r="P38" s="195"/>
      <c r="Q38" s="196"/>
      <c r="R38" s="196"/>
      <c r="S38" s="196"/>
      <c r="T38" s="196"/>
      <c r="U38" s="196"/>
      <c r="V38" s="196"/>
      <c r="W38" s="195"/>
      <c r="X38" s="195"/>
      <c r="Y38" s="196"/>
    </row>
    <row r="39" spans="1:25" ht="15.75" hidden="1" customHeight="1">
      <c r="A39" s="195"/>
      <c r="B39" s="195"/>
      <c r="C39" s="196"/>
      <c r="D39" s="195"/>
      <c r="E39" s="195"/>
      <c r="F39" s="197"/>
      <c r="G39" s="197"/>
      <c r="H39" s="197"/>
      <c r="I39" s="196"/>
      <c r="J39" s="196"/>
      <c r="K39" s="195"/>
      <c r="L39" s="195"/>
      <c r="M39" s="195"/>
      <c r="N39" s="195"/>
      <c r="O39" s="195"/>
      <c r="P39" s="195"/>
      <c r="Q39" s="196"/>
      <c r="R39" s="196"/>
      <c r="S39" s="196"/>
      <c r="T39" s="196"/>
      <c r="U39" s="196"/>
      <c r="V39" s="196"/>
      <c r="W39" s="195"/>
      <c r="X39" s="195"/>
      <c r="Y39" s="196"/>
    </row>
    <row r="40" spans="1:25" ht="15.4" hidden="1" customHeight="1"/>
    <row r="44" spans="1:25" ht="15.4" customHeight="1">
      <c r="A44" s="128" t="s">
        <v>136</v>
      </c>
      <c r="B44" s="202" t="s">
        <v>135</v>
      </c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</row>
    <row r="45" spans="1:25" ht="15.4" customHeight="1"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</row>
    <row r="46" spans="1:25" ht="15.4" customHeight="1"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</row>
    <row r="47" spans="1:25" ht="15.4" customHeight="1">
      <c r="B47" s="203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</row>
    <row r="48" spans="1:25" ht="15.4" customHeight="1"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</row>
    <row r="49" spans="2:20" ht="15.4" customHeight="1"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</row>
    <row r="50" spans="2:20" ht="15.4" customHeight="1"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</row>
    <row r="51" spans="2:20" ht="15.4" customHeight="1">
      <c r="B51" s="203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</row>
  </sheetData>
  <mergeCells count="30">
    <mergeCell ref="X4:Y4"/>
    <mergeCell ref="A5:A6"/>
    <mergeCell ref="B5:B6"/>
    <mergeCell ref="C5:C6"/>
    <mergeCell ref="D5:D6"/>
    <mergeCell ref="E5:E6"/>
    <mergeCell ref="F5:F6"/>
    <mergeCell ref="G5:G6"/>
    <mergeCell ref="J5:J6"/>
    <mergeCell ref="K5:K6"/>
    <mergeCell ref="L5:L6"/>
    <mergeCell ref="M5:M6"/>
    <mergeCell ref="A2:W2"/>
    <mergeCell ref="A4:W4"/>
    <mergeCell ref="A3:W3"/>
    <mergeCell ref="B44:T51"/>
    <mergeCell ref="X5:X6"/>
    <mergeCell ref="Y5:Y6"/>
    <mergeCell ref="B8:B22"/>
    <mergeCell ref="A24:E24"/>
    <mergeCell ref="A26:C26"/>
    <mergeCell ref="A34:B34"/>
    <mergeCell ref="Q5:Q6"/>
    <mergeCell ref="R5:R6"/>
    <mergeCell ref="S5:S6"/>
    <mergeCell ref="T5:T6"/>
    <mergeCell ref="U5:U6"/>
    <mergeCell ref="V5:W5"/>
    <mergeCell ref="H5:H6"/>
    <mergeCell ref="I5:I6"/>
  </mergeCells>
  <phoneticPr fontId="21" type="noConversion"/>
  <conditionalFormatting sqref="H23 K23:R23 F24:R24 M31:P32">
    <cfRule type="cellIs" dxfId="1" priority="2" stopIfTrue="1" operator="lessThan">
      <formula>0</formula>
    </cfRule>
  </conditionalFormatting>
  <conditionalFormatting sqref="T24">
    <cfRule type="cellIs" dxfId="0" priority="1" stopIfTrue="1" operator="lessThan">
      <formula>0</formula>
    </cfRule>
  </conditionalFormatting>
  <pageMargins left="0.23622047244094491" right="0.23622047244094491" top="0.47244094488188981" bottom="0.47244094488188981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5"/>
  <sheetViews>
    <sheetView topLeftCell="C1" zoomScale="70" zoomScaleNormal="70" workbookViewId="0">
      <selection activeCell="O7" sqref="O7"/>
    </sheetView>
  </sheetViews>
  <sheetFormatPr defaultColWidth="9.140625" defaultRowHeight="15"/>
  <cols>
    <col min="2" max="5" width="12.7109375" customWidth="1"/>
    <col min="6" max="6" width="16.140625" hidden="1" customWidth="1"/>
    <col min="7" max="25" width="12.7109375" customWidth="1"/>
    <col min="26" max="26" width="12.28515625" customWidth="1"/>
  </cols>
  <sheetData>
    <row r="1" spans="1:38" ht="30" customHeight="1"/>
    <row r="2" spans="1:38" ht="30" customHeight="1"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</row>
    <row r="3" spans="1:38" ht="79.150000000000006" customHeight="1">
      <c r="B3" s="275" t="s">
        <v>0</v>
      </c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7"/>
      <c r="U3" s="278"/>
      <c r="V3" s="279"/>
      <c r="W3" s="279"/>
      <c r="X3" s="279"/>
      <c r="Y3" s="280"/>
      <c r="AA3" s="278"/>
      <c r="AB3" s="279"/>
      <c r="AC3" s="279"/>
      <c r="AD3" s="279"/>
      <c r="AE3" s="279"/>
      <c r="AF3" s="280"/>
    </row>
    <row r="4" spans="1:38" s="1" customFormat="1" ht="25.15" customHeight="1">
      <c r="B4" s="281" t="s">
        <v>1</v>
      </c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3"/>
      <c r="AA4" s="284" t="s">
        <v>2</v>
      </c>
      <c r="AB4" s="285"/>
      <c r="AC4" s="285"/>
      <c r="AD4" s="285"/>
      <c r="AE4" s="285"/>
      <c r="AF4" s="286"/>
      <c r="AH4"/>
      <c r="AI4"/>
      <c r="AJ4"/>
      <c r="AK4"/>
      <c r="AL4"/>
    </row>
    <row r="5" spans="1:38" s="2" customFormat="1" ht="78.75">
      <c r="A5"/>
      <c r="B5" s="262" t="s">
        <v>3</v>
      </c>
      <c r="C5" s="268" t="s">
        <v>4</v>
      </c>
      <c r="D5" s="225" t="s">
        <v>5</v>
      </c>
      <c r="E5" s="225" t="s">
        <v>6</v>
      </c>
      <c r="F5" s="4" t="s">
        <v>7</v>
      </c>
      <c r="G5" s="271" t="s">
        <v>8</v>
      </c>
      <c r="H5" s="253"/>
      <c r="I5" s="271" t="s">
        <v>9</v>
      </c>
      <c r="J5" s="253"/>
      <c r="K5" s="271" t="s">
        <v>10</v>
      </c>
      <c r="L5" s="253"/>
      <c r="M5" s="271" t="s">
        <v>11</v>
      </c>
      <c r="N5" s="253"/>
      <c r="O5" s="272" t="s">
        <v>12</v>
      </c>
      <c r="P5" s="273"/>
      <c r="Q5" s="60" t="s">
        <v>13</v>
      </c>
      <c r="R5" s="252" t="s">
        <v>14</v>
      </c>
      <c r="S5" s="253"/>
      <c r="T5" s="227" t="s">
        <v>15</v>
      </c>
      <c r="U5" s="61" t="s">
        <v>16</v>
      </c>
      <c r="V5" s="61" t="s">
        <v>17</v>
      </c>
      <c r="W5" s="220" t="s">
        <v>18</v>
      </c>
      <c r="X5" s="218" t="s">
        <v>19</v>
      </c>
      <c r="Y5" s="220" t="s">
        <v>20</v>
      </c>
      <c r="Z5"/>
      <c r="AA5" s="87" t="s">
        <v>21</v>
      </c>
      <c r="AB5" s="88" t="s">
        <v>22</v>
      </c>
      <c r="AC5" s="89" t="s">
        <v>23</v>
      </c>
      <c r="AD5" s="90" t="s">
        <v>21</v>
      </c>
      <c r="AE5" s="91" t="s">
        <v>24</v>
      </c>
      <c r="AF5" s="92" t="s">
        <v>23</v>
      </c>
      <c r="AG5"/>
      <c r="AH5"/>
      <c r="AI5"/>
      <c r="AJ5"/>
      <c r="AK5"/>
      <c r="AL5"/>
    </row>
    <row r="6" spans="1:38" s="2" customFormat="1" ht="19.899999999999999" customHeight="1">
      <c r="A6"/>
      <c r="B6" s="263"/>
      <c r="C6" s="269"/>
      <c r="D6" s="226"/>
      <c r="E6" s="226"/>
      <c r="F6" s="5"/>
      <c r="G6" s="6" t="s">
        <v>25</v>
      </c>
      <c r="H6" s="7" t="s">
        <v>26</v>
      </c>
      <c r="I6" s="6" t="s">
        <v>25</v>
      </c>
      <c r="J6" s="7" t="s">
        <v>26</v>
      </c>
      <c r="K6" s="6" t="s">
        <v>25</v>
      </c>
      <c r="L6" s="7" t="s">
        <v>26</v>
      </c>
      <c r="M6" s="6" t="s">
        <v>25</v>
      </c>
      <c r="N6" s="7" t="s">
        <v>26</v>
      </c>
      <c r="O6" s="6" t="s">
        <v>25</v>
      </c>
      <c r="P6" s="5" t="s">
        <v>26</v>
      </c>
      <c r="Q6" s="62" t="s">
        <v>27</v>
      </c>
      <c r="R6" s="63" t="s">
        <v>25</v>
      </c>
      <c r="S6" s="7" t="s">
        <v>26</v>
      </c>
      <c r="T6" s="228"/>
      <c r="U6" s="62" t="s">
        <v>25</v>
      </c>
      <c r="V6" s="62" t="s">
        <v>25</v>
      </c>
      <c r="W6" s="221"/>
      <c r="X6" s="219"/>
      <c r="Y6" s="221"/>
      <c r="Z6"/>
      <c r="AA6" s="254" t="s">
        <v>25</v>
      </c>
      <c r="AB6" s="219"/>
      <c r="AC6" s="255"/>
      <c r="AD6" s="219" t="s">
        <v>26</v>
      </c>
      <c r="AE6" s="219"/>
      <c r="AF6" s="255"/>
      <c r="AG6"/>
      <c r="AH6"/>
      <c r="AI6"/>
      <c r="AJ6"/>
      <c r="AK6"/>
      <c r="AL6"/>
    </row>
    <row r="7" spans="1:38" ht="15.75">
      <c r="B7" s="264">
        <v>1</v>
      </c>
      <c r="C7" s="270" t="s">
        <v>28</v>
      </c>
      <c r="D7" s="8">
        <v>101</v>
      </c>
      <c r="E7" s="9" t="s">
        <v>29</v>
      </c>
      <c r="F7" s="10"/>
      <c r="G7" s="11">
        <v>204.87</v>
      </c>
      <c r="H7" s="12">
        <f t="shared" ref="H7:L7" si="0">G7*10.764</f>
        <v>2205.2206799999999</v>
      </c>
      <c r="I7" s="11">
        <v>21.52</v>
      </c>
      <c r="J7" s="12">
        <f t="shared" si="0"/>
        <v>231.64127999999999</v>
      </c>
      <c r="K7" s="11">
        <v>7.13</v>
      </c>
      <c r="L7" s="12">
        <f t="shared" si="0"/>
        <v>76.747320000000002</v>
      </c>
      <c r="M7" s="39">
        <f t="shared" ref="M7:M16" si="1">SUM(AA8:AC8)</f>
        <v>83.9904351260369</v>
      </c>
      <c r="N7" s="40">
        <f t="shared" ref="N7:N17" si="2">SUM(M7*10.764)</f>
        <v>904.07304369666099</v>
      </c>
      <c r="O7" s="41">
        <f t="shared" ref="O7:O14" si="3">U7+AB8</f>
        <v>317.51043512603701</v>
      </c>
      <c r="P7" s="42">
        <f t="shared" ref="P7:P17" si="4">O7*10.764</f>
        <v>3417.6823236966602</v>
      </c>
      <c r="Q7" s="64">
        <f>R7/H49</f>
        <v>7.3011213492957097E-2</v>
      </c>
      <c r="R7" s="65">
        <f>U7/U26*H49</f>
        <v>94.434893868195502</v>
      </c>
      <c r="S7" s="12">
        <f t="shared" ref="S7:S17" si="5">R7*10.764</f>
        <v>1016.49719759726</v>
      </c>
      <c r="T7" s="66">
        <v>2</v>
      </c>
      <c r="U7" s="67">
        <f t="shared" ref="U7:U15" si="6">SUM(G7,I7,K7,AA8,AC8)</f>
        <v>254.19</v>
      </c>
      <c r="V7" s="66">
        <f t="shared" ref="V7:V15" si="7">SUM(G7,I7,K7)</f>
        <v>233.52</v>
      </c>
      <c r="W7" s="68">
        <f t="shared" ref="W7:W17" si="8">SUM(V7/O7)</f>
        <v>0.73547189057677198</v>
      </c>
      <c r="X7" s="69">
        <f t="shared" ref="X7:X13" si="9">SUM(V7+AA8)</f>
        <v>251.24</v>
      </c>
      <c r="Y7" s="93">
        <f t="shared" ref="Y7:Y17" si="10">SUM(X7/O7)</f>
        <v>0.79128107994393804</v>
      </c>
      <c r="AA7" s="94" t="s">
        <v>30</v>
      </c>
      <c r="AB7" s="94" t="s">
        <v>31</v>
      </c>
      <c r="AC7" s="95" t="s">
        <v>32</v>
      </c>
      <c r="AD7" s="96" t="s">
        <v>30</v>
      </c>
      <c r="AE7" s="94" t="s">
        <v>31</v>
      </c>
      <c r="AF7" s="97" t="s">
        <v>32</v>
      </c>
    </row>
    <row r="8" spans="1:38" ht="15.75">
      <c r="B8" s="265"/>
      <c r="C8" s="223"/>
      <c r="D8" s="8">
        <v>102</v>
      </c>
      <c r="E8" s="9" t="s">
        <v>29</v>
      </c>
      <c r="F8" s="10"/>
      <c r="G8" s="13">
        <v>175.37</v>
      </c>
      <c r="H8" s="12">
        <f t="shared" ref="H8:L8" si="11">G8*10.764</f>
        <v>1887.6826799999999</v>
      </c>
      <c r="I8" s="11">
        <v>7.58</v>
      </c>
      <c r="J8" s="12">
        <f t="shared" si="11"/>
        <v>81.591120000000004</v>
      </c>
      <c r="K8" s="11">
        <v>6.37</v>
      </c>
      <c r="L8" s="12">
        <f t="shared" si="11"/>
        <v>68.566680000000005</v>
      </c>
      <c r="M8" s="39">
        <f t="shared" si="1"/>
        <v>70.681562105057594</v>
      </c>
      <c r="N8" s="40">
        <f t="shared" si="2"/>
        <v>760.81633449883998</v>
      </c>
      <c r="O8" s="41">
        <f t="shared" si="3"/>
        <v>260.00156210505799</v>
      </c>
      <c r="P8" s="42">
        <f t="shared" si="4"/>
        <v>2798.65681449884</v>
      </c>
      <c r="Q8" s="64">
        <f>R8/H49</f>
        <v>5.9787104483099297E-2</v>
      </c>
      <c r="R8" s="65">
        <f>U8/U26*H49</f>
        <v>77.330434551575195</v>
      </c>
      <c r="S8" s="12">
        <f t="shared" si="5"/>
        <v>832.38479751315504</v>
      </c>
      <c r="T8" s="66">
        <v>2</v>
      </c>
      <c r="U8" s="67">
        <f t="shared" si="6"/>
        <v>208.15</v>
      </c>
      <c r="V8" s="66">
        <f t="shared" si="7"/>
        <v>189.32</v>
      </c>
      <c r="W8" s="68">
        <f t="shared" si="8"/>
        <v>0.72814947136164698</v>
      </c>
      <c r="X8" s="70">
        <f t="shared" si="9"/>
        <v>201.94</v>
      </c>
      <c r="Y8" s="68">
        <f t="shared" si="10"/>
        <v>0.77668764127810497</v>
      </c>
      <c r="Z8" s="98"/>
      <c r="AA8" s="99">
        <v>17.72</v>
      </c>
      <c r="AB8" s="100">
        <f>(U7/U26)*I45</f>
        <v>63.320435126036898</v>
      </c>
      <c r="AC8" s="101">
        <v>2.95</v>
      </c>
      <c r="AD8" s="102">
        <f t="shared" ref="AD8:AF8" si="12">AA8*10.764</f>
        <v>190.73808</v>
      </c>
      <c r="AE8" s="99">
        <f t="shared" si="12"/>
        <v>681.58116369666095</v>
      </c>
      <c r="AF8" s="101">
        <f t="shared" si="12"/>
        <v>31.753799999999998</v>
      </c>
      <c r="AH8" s="98"/>
    </row>
    <row r="9" spans="1:38" ht="15.75">
      <c r="B9" s="266"/>
      <c r="C9" s="224"/>
      <c r="D9" s="8">
        <v>103</v>
      </c>
      <c r="E9" s="9" t="s">
        <v>29</v>
      </c>
      <c r="F9" s="10"/>
      <c r="G9" s="11">
        <v>187.62</v>
      </c>
      <c r="H9" s="12">
        <f t="shared" ref="H9:L9" si="13">G9*10.764</f>
        <v>2019.54168</v>
      </c>
      <c r="I9" s="13">
        <v>9.8800000000000008</v>
      </c>
      <c r="J9" s="12">
        <f t="shared" si="13"/>
        <v>106.34832</v>
      </c>
      <c r="K9" s="11">
        <v>6.73</v>
      </c>
      <c r="L9" s="12">
        <f t="shared" si="13"/>
        <v>72.441720000000004</v>
      </c>
      <c r="M9" s="39">
        <f t="shared" si="1"/>
        <v>78.680179203336493</v>
      </c>
      <c r="N9" s="40">
        <f t="shared" si="2"/>
        <v>846.91344894471399</v>
      </c>
      <c r="O9" s="41">
        <f t="shared" si="3"/>
        <v>282.91017920333599</v>
      </c>
      <c r="P9" s="42">
        <f t="shared" si="4"/>
        <v>3045.2451689447098</v>
      </c>
      <c r="Q9" s="64">
        <f>R9/H49</f>
        <v>6.5054918541326806E-2</v>
      </c>
      <c r="R9" s="65">
        <f>U9/U26*H49</f>
        <v>84.143983288908302</v>
      </c>
      <c r="S9" s="12">
        <f t="shared" si="5"/>
        <v>905.72583612180904</v>
      </c>
      <c r="T9" s="66">
        <v>3</v>
      </c>
      <c r="U9" s="67">
        <f t="shared" si="6"/>
        <v>226.49</v>
      </c>
      <c r="V9" s="66">
        <f t="shared" si="7"/>
        <v>204.23</v>
      </c>
      <c r="W9" s="68">
        <f t="shared" si="8"/>
        <v>0.72188989655693303</v>
      </c>
      <c r="X9" s="70">
        <f t="shared" si="9"/>
        <v>218.79</v>
      </c>
      <c r="Y9" s="68">
        <f t="shared" si="10"/>
        <v>0.77335499421089704</v>
      </c>
      <c r="Z9" s="98"/>
      <c r="AA9" s="103">
        <v>12.62</v>
      </c>
      <c r="AB9" s="100">
        <f>(U8/U26)*I45</f>
        <v>51.851562105057603</v>
      </c>
      <c r="AC9" s="104">
        <v>6.21</v>
      </c>
      <c r="AD9" s="102">
        <f t="shared" ref="AD9:AF9" si="14">AA9*10.764</f>
        <v>135.84168</v>
      </c>
      <c r="AE9" s="99">
        <f t="shared" si="14"/>
        <v>558.13021449884002</v>
      </c>
      <c r="AF9" s="101">
        <f t="shared" si="14"/>
        <v>66.844440000000006</v>
      </c>
      <c r="AH9" s="98"/>
    </row>
    <row r="10" spans="1:38" ht="15.75">
      <c r="B10" s="267">
        <v>2</v>
      </c>
      <c r="C10" s="222" t="s">
        <v>33</v>
      </c>
      <c r="D10" s="14">
        <v>201</v>
      </c>
      <c r="E10" s="15" t="s">
        <v>29</v>
      </c>
      <c r="F10" s="16"/>
      <c r="G10" s="17">
        <v>205</v>
      </c>
      <c r="H10" s="18">
        <f t="shared" ref="H10:L10" si="15">G10*10.764</f>
        <v>2206.62</v>
      </c>
      <c r="I10" s="19">
        <v>30.08</v>
      </c>
      <c r="J10" s="18">
        <f t="shared" si="15"/>
        <v>323.78111999999999</v>
      </c>
      <c r="K10" s="19">
        <v>7.13</v>
      </c>
      <c r="L10" s="18">
        <f t="shared" si="15"/>
        <v>76.747320000000002</v>
      </c>
      <c r="M10" s="39">
        <f t="shared" si="1"/>
        <v>88.353600266550202</v>
      </c>
      <c r="N10" s="40">
        <f t="shared" si="2"/>
        <v>951.03815326914696</v>
      </c>
      <c r="O10" s="41">
        <f t="shared" si="3"/>
        <v>330.56360026655</v>
      </c>
      <c r="P10" s="42">
        <f t="shared" si="4"/>
        <v>3558.1865932691499</v>
      </c>
      <c r="Q10" s="64">
        <f>R10/H49</f>
        <v>7.6012776028861001E-2</v>
      </c>
      <c r="R10" s="65">
        <f>U10/U26*H49</f>
        <v>98.317204899009596</v>
      </c>
      <c r="S10" s="12">
        <f t="shared" si="5"/>
        <v>1058.2863935329401</v>
      </c>
      <c r="T10" s="71">
        <v>2</v>
      </c>
      <c r="U10" s="67">
        <f t="shared" si="6"/>
        <v>264.64</v>
      </c>
      <c r="V10" s="66">
        <f t="shared" si="7"/>
        <v>242.21</v>
      </c>
      <c r="W10" s="68">
        <f t="shared" si="8"/>
        <v>0.73271830233181701</v>
      </c>
      <c r="X10" s="70">
        <f t="shared" si="9"/>
        <v>260.02</v>
      </c>
      <c r="Y10" s="68">
        <f t="shared" si="10"/>
        <v>0.78659598271053599</v>
      </c>
      <c r="Z10" s="98"/>
      <c r="AA10" s="99">
        <v>14.56</v>
      </c>
      <c r="AB10" s="100">
        <f>(U9/U26)*I45</f>
        <v>56.420179203336502</v>
      </c>
      <c r="AC10" s="101">
        <v>7.7</v>
      </c>
      <c r="AD10" s="102">
        <f t="shared" ref="AD10:AF10" si="16">AA10*10.764</f>
        <v>156.72384</v>
      </c>
      <c r="AE10" s="99">
        <f t="shared" si="16"/>
        <v>607.30680894471402</v>
      </c>
      <c r="AF10" s="101">
        <f t="shared" si="16"/>
        <v>82.882800000000003</v>
      </c>
      <c r="AH10" s="98"/>
    </row>
    <row r="11" spans="1:38" ht="15.75">
      <c r="B11" s="265"/>
      <c r="C11" s="223"/>
      <c r="D11" s="14">
        <v>202</v>
      </c>
      <c r="E11" s="15" t="s">
        <v>29</v>
      </c>
      <c r="F11" s="16"/>
      <c r="G11" s="19">
        <v>175.65</v>
      </c>
      <c r="H11" s="18">
        <f t="shared" ref="H11:L11" si="17">G11*10.764</f>
        <v>1890.6966</v>
      </c>
      <c r="I11" s="19">
        <v>7.58</v>
      </c>
      <c r="J11" s="18">
        <f t="shared" si="17"/>
        <v>81.591120000000004</v>
      </c>
      <c r="K11" s="19">
        <v>6.37</v>
      </c>
      <c r="L11" s="18">
        <f t="shared" si="17"/>
        <v>68.566680000000005</v>
      </c>
      <c r="M11" s="39">
        <f t="shared" si="1"/>
        <v>70.488999574898301</v>
      </c>
      <c r="N11" s="40">
        <f t="shared" si="2"/>
        <v>758.74359142420599</v>
      </c>
      <c r="O11" s="41">
        <f t="shared" si="3"/>
        <v>260.08899957489803</v>
      </c>
      <c r="P11" s="42">
        <f t="shared" si="4"/>
        <v>2799.5979914242098</v>
      </c>
      <c r="Q11" s="64">
        <f>R11/H49</f>
        <v>5.9807210643626901E-2</v>
      </c>
      <c r="R11" s="65">
        <f>U11/U26*H49</f>
        <v>77.356440462786395</v>
      </c>
      <c r="S11" s="12">
        <f t="shared" si="5"/>
        <v>832.664725141433</v>
      </c>
      <c r="T11" s="71">
        <v>2</v>
      </c>
      <c r="U11" s="67">
        <f t="shared" si="6"/>
        <v>208.22</v>
      </c>
      <c r="V11" s="66">
        <f t="shared" si="7"/>
        <v>189.6</v>
      </c>
      <c r="W11" s="68">
        <f t="shared" si="8"/>
        <v>0.72898123453852803</v>
      </c>
      <c r="X11" s="70">
        <f t="shared" si="9"/>
        <v>202.22</v>
      </c>
      <c r="Y11" s="68">
        <f t="shared" si="10"/>
        <v>0.77750308675306501</v>
      </c>
      <c r="Z11" s="98"/>
      <c r="AA11" s="99">
        <v>17.809999999999999</v>
      </c>
      <c r="AB11" s="100">
        <f>(U10/U26)*I45</f>
        <v>65.923600266550196</v>
      </c>
      <c r="AC11" s="101">
        <v>4.62</v>
      </c>
      <c r="AD11" s="102">
        <f t="shared" ref="AD11:AF11" si="18">AA11*10.764</f>
        <v>191.70684</v>
      </c>
      <c r="AE11" s="99">
        <f t="shared" si="18"/>
        <v>709.60163326914699</v>
      </c>
      <c r="AF11" s="101">
        <f t="shared" si="18"/>
        <v>49.729680000000002</v>
      </c>
      <c r="AH11" s="98"/>
    </row>
    <row r="12" spans="1:38" ht="15.75">
      <c r="B12" s="266"/>
      <c r="C12" s="224"/>
      <c r="D12" s="14">
        <v>203</v>
      </c>
      <c r="E12" s="15" t="s">
        <v>29</v>
      </c>
      <c r="F12" s="16"/>
      <c r="G12" s="17">
        <v>187.6</v>
      </c>
      <c r="H12" s="18">
        <f t="shared" ref="H12:L12" si="19">G12*10.764</f>
        <v>2019.3263999999999</v>
      </c>
      <c r="I12" s="17">
        <v>9.3800000000000008</v>
      </c>
      <c r="J12" s="18">
        <f t="shared" si="19"/>
        <v>100.96632</v>
      </c>
      <c r="K12" s="19">
        <v>6.73</v>
      </c>
      <c r="L12" s="18">
        <f t="shared" si="19"/>
        <v>72.441720000000004</v>
      </c>
      <c r="M12" s="39">
        <f t="shared" si="1"/>
        <v>78.837938256853306</v>
      </c>
      <c r="N12" s="40">
        <f t="shared" si="2"/>
        <v>848.61156739676903</v>
      </c>
      <c r="O12" s="41">
        <f t="shared" si="3"/>
        <v>282.547938256853</v>
      </c>
      <c r="P12" s="42">
        <f t="shared" si="4"/>
        <v>3041.3460073967699</v>
      </c>
      <c r="Q12" s="64">
        <f>R12/H49</f>
        <v>6.49716215905696E-2</v>
      </c>
      <c r="R12" s="65">
        <f>U12/U26*H49</f>
        <v>84.036244513890495</v>
      </c>
      <c r="S12" s="12">
        <f t="shared" si="5"/>
        <v>904.56613594751695</v>
      </c>
      <c r="T12" s="71">
        <v>3</v>
      </c>
      <c r="U12" s="67">
        <f t="shared" si="6"/>
        <v>226.2</v>
      </c>
      <c r="V12" s="66">
        <f t="shared" si="7"/>
        <v>203.71</v>
      </c>
      <c r="W12" s="68">
        <f t="shared" si="8"/>
        <v>0.72097500076187104</v>
      </c>
      <c r="X12" s="70">
        <f t="shared" si="9"/>
        <v>217.94</v>
      </c>
      <c r="Y12" s="68">
        <f t="shared" si="10"/>
        <v>0.77133813590909694</v>
      </c>
      <c r="Z12" s="98"/>
      <c r="AA12" s="99">
        <v>12.62</v>
      </c>
      <c r="AB12" s="100">
        <f>(U11/U26)*I45</f>
        <v>51.868999574898297</v>
      </c>
      <c r="AC12" s="101">
        <v>6</v>
      </c>
      <c r="AD12" s="102">
        <f t="shared" ref="AD12:AF12" si="20">AA12*10.764</f>
        <v>135.84168</v>
      </c>
      <c r="AE12" s="99">
        <f t="shared" si="20"/>
        <v>558.31791142420605</v>
      </c>
      <c r="AF12" s="101">
        <f t="shared" si="20"/>
        <v>64.584000000000003</v>
      </c>
      <c r="AH12" s="98"/>
    </row>
    <row r="13" spans="1:38" ht="15.75">
      <c r="B13" s="267">
        <v>3</v>
      </c>
      <c r="C13" s="222" t="s">
        <v>34</v>
      </c>
      <c r="D13" s="14">
        <v>301</v>
      </c>
      <c r="E13" s="15" t="s">
        <v>29</v>
      </c>
      <c r="F13" s="16"/>
      <c r="G13" s="19">
        <v>203.98</v>
      </c>
      <c r="H13" s="18">
        <f t="shared" ref="H13:L13" si="21">G13*10.764</f>
        <v>2195.6407199999999</v>
      </c>
      <c r="I13" s="17">
        <v>10.3</v>
      </c>
      <c r="J13" s="18">
        <f t="shared" si="21"/>
        <v>110.86920000000001</v>
      </c>
      <c r="K13" s="19">
        <v>7.13</v>
      </c>
      <c r="L13" s="18">
        <f t="shared" si="21"/>
        <v>76.747320000000002</v>
      </c>
      <c r="M13" s="39">
        <f t="shared" si="1"/>
        <v>84.121501757852897</v>
      </c>
      <c r="N13" s="40">
        <f t="shared" si="2"/>
        <v>905.483844921529</v>
      </c>
      <c r="O13" s="41">
        <f t="shared" si="3"/>
        <v>305.53150175785299</v>
      </c>
      <c r="P13" s="42">
        <f t="shared" si="4"/>
        <v>3288.7410849215298</v>
      </c>
      <c r="Q13" s="64">
        <f>R13/H49</f>
        <v>7.0256669500677896E-2</v>
      </c>
      <c r="R13" s="65">
        <f>U13/U26*H49</f>
        <v>90.872084032261796</v>
      </c>
      <c r="S13" s="12">
        <f t="shared" si="5"/>
        <v>978.14711252326595</v>
      </c>
      <c r="T13" s="71">
        <v>2</v>
      </c>
      <c r="U13" s="67">
        <f t="shared" si="6"/>
        <v>244.6</v>
      </c>
      <c r="V13" s="66">
        <f t="shared" si="7"/>
        <v>221.41</v>
      </c>
      <c r="W13" s="68">
        <f t="shared" si="8"/>
        <v>0.72467159270364601</v>
      </c>
      <c r="X13" s="70">
        <f t="shared" si="9"/>
        <v>239.98</v>
      </c>
      <c r="Y13" s="68">
        <f t="shared" si="10"/>
        <v>0.78545092279942597</v>
      </c>
      <c r="Z13" s="98"/>
      <c r="AA13" s="99">
        <v>14.23</v>
      </c>
      <c r="AB13" s="100">
        <f>(U12/U26)*I45</f>
        <v>56.347938256853297</v>
      </c>
      <c r="AC13" s="101">
        <v>8.26</v>
      </c>
      <c r="AD13" s="102">
        <f t="shared" ref="AD13:AF13" si="22">AA13*10.764</f>
        <v>153.17171999999999</v>
      </c>
      <c r="AE13" s="99">
        <f t="shared" si="22"/>
        <v>606.52920739676904</v>
      </c>
      <c r="AF13" s="101">
        <f t="shared" si="22"/>
        <v>88.910640000000001</v>
      </c>
      <c r="AH13" s="98"/>
      <c r="AK13" s="3"/>
      <c r="AL13" s="3"/>
    </row>
    <row r="14" spans="1:38" ht="15.75">
      <c r="B14" s="265"/>
      <c r="C14" s="223"/>
      <c r="D14" s="14">
        <v>302</v>
      </c>
      <c r="E14" s="15" t="s">
        <v>29</v>
      </c>
      <c r="F14" s="16"/>
      <c r="G14" s="17">
        <v>185.3</v>
      </c>
      <c r="H14" s="18">
        <f t="shared" ref="H14:L14" si="23">G14*10.764</f>
        <v>1994.5691999999999</v>
      </c>
      <c r="I14" s="19">
        <v>7.58</v>
      </c>
      <c r="J14" s="18">
        <f t="shared" si="23"/>
        <v>81.591120000000004</v>
      </c>
      <c r="K14" s="19">
        <v>6.37</v>
      </c>
      <c r="L14" s="18">
        <f t="shared" si="23"/>
        <v>68.566680000000005</v>
      </c>
      <c r="M14" s="39">
        <f t="shared" si="1"/>
        <v>72.080959982995907</v>
      </c>
      <c r="N14" s="40">
        <f t="shared" si="2"/>
        <v>775.87945325696796</v>
      </c>
      <c r="O14" s="41">
        <f t="shared" si="3"/>
        <v>271.33095998299598</v>
      </c>
      <c r="P14" s="42">
        <f t="shared" si="4"/>
        <v>2920.6064532569699</v>
      </c>
      <c r="Q14" s="64">
        <f>R14/H49</f>
        <v>6.2392288425745103E-2</v>
      </c>
      <c r="R14" s="65">
        <f>U14/U26*H49</f>
        <v>80.700057618511494</v>
      </c>
      <c r="S14" s="12">
        <f t="shared" si="5"/>
        <v>868.65542020565704</v>
      </c>
      <c r="T14" s="71">
        <v>2</v>
      </c>
      <c r="U14" s="67">
        <f t="shared" si="6"/>
        <v>217.22</v>
      </c>
      <c r="V14" s="66">
        <f t="shared" si="7"/>
        <v>199.25</v>
      </c>
      <c r="W14" s="68">
        <f t="shared" si="8"/>
        <v>0.73434303262881195</v>
      </c>
      <c r="X14" s="70">
        <f t="shared" ref="X14:X21" si="24">SUM(V14+AA15)</f>
        <v>211.78</v>
      </c>
      <c r="Y14" s="68">
        <f t="shared" si="10"/>
        <v>0.78052279774218203</v>
      </c>
      <c r="Z14" s="98"/>
      <c r="AA14" s="99">
        <v>18.57</v>
      </c>
      <c r="AB14" s="100">
        <f>(U13/U26)*I45</f>
        <v>60.931501757852899</v>
      </c>
      <c r="AC14" s="101">
        <v>4.62</v>
      </c>
      <c r="AD14" s="102">
        <f t="shared" ref="AD14:AF14" si="25">AA14*10.764</f>
        <v>199.88748000000001</v>
      </c>
      <c r="AE14" s="99">
        <f t="shared" si="25"/>
        <v>655.86668492152899</v>
      </c>
      <c r="AF14" s="101">
        <f t="shared" si="25"/>
        <v>49.729680000000002</v>
      </c>
      <c r="AH14" s="98"/>
      <c r="AK14" s="3"/>
      <c r="AL14" s="3"/>
    </row>
    <row r="15" spans="1:38" ht="15.75">
      <c r="B15" s="266"/>
      <c r="C15" s="224"/>
      <c r="D15" s="14">
        <v>303</v>
      </c>
      <c r="E15" s="15" t="s">
        <v>29</v>
      </c>
      <c r="F15" s="16"/>
      <c r="G15" s="19">
        <v>187.66</v>
      </c>
      <c r="H15" s="18">
        <f t="shared" ref="H15:L15" si="26">G15*10.764</f>
        <v>2019.9722400000001</v>
      </c>
      <c r="I15" s="17">
        <v>9.3800000000000008</v>
      </c>
      <c r="J15" s="18">
        <f t="shared" si="26"/>
        <v>100.96632</v>
      </c>
      <c r="K15" s="19">
        <v>6.73</v>
      </c>
      <c r="L15" s="18">
        <f t="shared" si="26"/>
        <v>72.441720000000004</v>
      </c>
      <c r="M15" s="39">
        <f t="shared" si="1"/>
        <v>78.790429323973399</v>
      </c>
      <c r="N15" s="40">
        <f t="shared" si="2"/>
        <v>848.10018124324995</v>
      </c>
      <c r="O15" s="41">
        <f t="shared" ref="O15:O21" si="27">U15+AB16</f>
        <v>282.56042932397298</v>
      </c>
      <c r="P15" s="42">
        <f t="shared" si="4"/>
        <v>3041.4804612432499</v>
      </c>
      <c r="Q15" s="64">
        <f>R15/H49</f>
        <v>6.4974493899216404E-2</v>
      </c>
      <c r="R15" s="65">
        <f>U15/U26*H49</f>
        <v>84.039959644063501</v>
      </c>
      <c r="S15" s="12">
        <f t="shared" si="5"/>
        <v>904.60612560870004</v>
      </c>
      <c r="T15" s="71">
        <v>3</v>
      </c>
      <c r="U15" s="67">
        <f t="shared" si="6"/>
        <v>226.21</v>
      </c>
      <c r="V15" s="66">
        <f t="shared" si="7"/>
        <v>203.77</v>
      </c>
      <c r="W15" s="68">
        <f t="shared" si="8"/>
        <v>0.72115547278690195</v>
      </c>
      <c r="X15" s="70">
        <f t="shared" si="24"/>
        <v>217.95</v>
      </c>
      <c r="Y15" s="68">
        <f t="shared" si="10"/>
        <v>0.77133942824706903</v>
      </c>
      <c r="Z15" s="98"/>
      <c r="AA15" s="99">
        <v>12.53</v>
      </c>
      <c r="AB15" s="100">
        <f>(U14/U26)*I45</f>
        <v>54.110959982995901</v>
      </c>
      <c r="AC15" s="101">
        <v>5.44</v>
      </c>
      <c r="AD15" s="102">
        <f t="shared" ref="AD15:AF15" si="28">AA15*10.764</f>
        <v>134.87291999999999</v>
      </c>
      <c r="AE15" s="99">
        <f t="shared" si="28"/>
        <v>582.45037325696796</v>
      </c>
      <c r="AF15" s="101">
        <f t="shared" si="28"/>
        <v>58.556159999999998</v>
      </c>
      <c r="AH15" s="98"/>
      <c r="AK15" s="3"/>
      <c r="AL15" s="3"/>
    </row>
    <row r="16" spans="1:38" ht="15.75">
      <c r="B16" s="267">
        <v>4</v>
      </c>
      <c r="C16" s="222" t="s">
        <v>35</v>
      </c>
      <c r="D16" s="14">
        <v>401</v>
      </c>
      <c r="E16" s="14" t="s">
        <v>36</v>
      </c>
      <c r="F16" s="16"/>
      <c r="G16" s="17">
        <v>207.91</v>
      </c>
      <c r="H16" s="18">
        <f>G16*10.764</f>
        <v>2237.9432400000001</v>
      </c>
      <c r="I16" s="19">
        <v>16.97</v>
      </c>
      <c r="J16" s="18">
        <f t="shared" ref="J16:L16" si="29">I16*10.764</f>
        <v>182.66507999999999</v>
      </c>
      <c r="K16" s="19">
        <v>11.08</v>
      </c>
      <c r="L16" s="18">
        <f t="shared" si="29"/>
        <v>119.26512</v>
      </c>
      <c r="M16" s="39">
        <f t="shared" si="1"/>
        <v>83.349148791332496</v>
      </c>
      <c r="N16" s="40">
        <f t="shared" si="2"/>
        <v>897.17023758990297</v>
      </c>
      <c r="O16" s="43">
        <f t="shared" si="27"/>
        <v>319.30914879133297</v>
      </c>
      <c r="P16" s="44">
        <f t="shared" si="4"/>
        <v>3437.0436775899002</v>
      </c>
      <c r="Q16" s="72">
        <f>R16/H49</f>
        <v>7.3424825938096003E-2</v>
      </c>
      <c r="R16" s="65">
        <f>U16/U26*H49</f>
        <v>94.969872613111505</v>
      </c>
      <c r="S16" s="12">
        <f t="shared" si="5"/>
        <v>1022.25570880753</v>
      </c>
      <c r="T16" s="71">
        <v>1</v>
      </c>
      <c r="U16" s="67">
        <f t="shared" ref="U16:U21" si="30">SUM(G16,I16,K16,AA17,AC17)</f>
        <v>255.63</v>
      </c>
      <c r="V16" s="73">
        <f t="shared" ref="V16:V20" si="31">SUM(G16,I16,K16)</f>
        <v>235.96</v>
      </c>
      <c r="W16" s="74">
        <f t="shared" ref="W16:W20" si="32">SUM(V16/O16)</f>
        <v>0.738970370542684</v>
      </c>
      <c r="X16" s="70">
        <f t="shared" si="24"/>
        <v>252.81</v>
      </c>
      <c r="Y16" s="74">
        <f t="shared" si="10"/>
        <v>0.791740546604916</v>
      </c>
      <c r="Z16" s="98"/>
      <c r="AA16" s="99">
        <v>14.18</v>
      </c>
      <c r="AB16" s="100">
        <f>(U15/U26)*I45</f>
        <v>56.350429323973401</v>
      </c>
      <c r="AC16" s="101">
        <v>8.26</v>
      </c>
      <c r="AD16" s="102">
        <f t="shared" ref="AD16:AF16" si="33">AA16*10.764</f>
        <v>152.63352</v>
      </c>
      <c r="AE16" s="99">
        <f t="shared" si="33"/>
        <v>606.55602124325003</v>
      </c>
      <c r="AF16" s="101">
        <f t="shared" si="33"/>
        <v>88.910640000000001</v>
      </c>
      <c r="AH16" s="98"/>
    </row>
    <row r="17" spans="2:38" ht="15.75">
      <c r="B17" s="265"/>
      <c r="C17" s="223"/>
      <c r="D17" s="14">
        <v>402</v>
      </c>
      <c r="E17" s="15" t="s">
        <v>37</v>
      </c>
      <c r="F17" s="16"/>
      <c r="G17" s="17">
        <v>196.6</v>
      </c>
      <c r="H17" s="18">
        <f t="shared" ref="H17:L17" si="34">G17*10.764</f>
        <v>2116.2024000000001</v>
      </c>
      <c r="I17" s="17">
        <v>14.78</v>
      </c>
      <c r="J17" s="18">
        <f t="shared" si="34"/>
        <v>159.09191999999999</v>
      </c>
      <c r="K17" s="19">
        <v>0</v>
      </c>
      <c r="L17" s="18">
        <f t="shared" si="34"/>
        <v>0</v>
      </c>
      <c r="M17" s="39">
        <f>AA18+AB18+AC18</f>
        <v>72.467009237344598</v>
      </c>
      <c r="N17" s="40">
        <f t="shared" si="2"/>
        <v>780.03488743077696</v>
      </c>
      <c r="O17" s="43">
        <f t="shared" si="27"/>
        <v>283.84700923734499</v>
      </c>
      <c r="P17" s="44">
        <f t="shared" si="4"/>
        <v>3055.3292074307801</v>
      </c>
      <c r="Q17" s="72">
        <f>R17/H49</f>
        <v>6.52703416898366E-2</v>
      </c>
      <c r="R17" s="65">
        <f>U17/U26*H49</f>
        <v>84.422618051885394</v>
      </c>
      <c r="S17" s="12">
        <f t="shared" si="5"/>
        <v>908.72506071049395</v>
      </c>
      <c r="T17" s="71">
        <v>1</v>
      </c>
      <c r="U17" s="67">
        <f t="shared" si="30"/>
        <v>227.24</v>
      </c>
      <c r="V17" s="73">
        <f t="shared" si="31"/>
        <v>211.38</v>
      </c>
      <c r="W17" s="74">
        <f t="shared" si="8"/>
        <v>0.74469694279304599</v>
      </c>
      <c r="X17" s="70">
        <f t="shared" si="24"/>
        <v>223.85</v>
      </c>
      <c r="Y17" s="74">
        <f t="shared" si="10"/>
        <v>0.788629059722885</v>
      </c>
      <c r="Z17" s="98"/>
      <c r="AA17" s="105">
        <v>16.850000000000001</v>
      </c>
      <c r="AB17" s="106">
        <f>(U16/U26)*I45</f>
        <v>63.679148791332501</v>
      </c>
      <c r="AC17" s="107">
        <v>2.82</v>
      </c>
      <c r="AD17" s="102">
        <f t="shared" ref="AD17:AF17" si="35">AA17*10.764</f>
        <v>181.3734</v>
      </c>
      <c r="AE17" s="99">
        <f t="shared" si="35"/>
        <v>685.44235758990305</v>
      </c>
      <c r="AF17" s="101">
        <f t="shared" si="35"/>
        <v>30.354479999999999</v>
      </c>
      <c r="AH17" s="98"/>
    </row>
    <row r="18" spans="2:38" ht="15.75">
      <c r="B18" s="266"/>
      <c r="C18" s="224"/>
      <c r="D18" s="14">
        <v>403</v>
      </c>
      <c r="E18" s="15" t="s">
        <v>29</v>
      </c>
      <c r="F18" s="16"/>
      <c r="G18" s="19">
        <v>186.97</v>
      </c>
      <c r="H18" s="18">
        <f t="shared" ref="H18:L18" si="36">G18*10.764</f>
        <v>2012.5450800000001</v>
      </c>
      <c r="I18" s="17">
        <v>9.3800000000000008</v>
      </c>
      <c r="J18" s="18">
        <f t="shared" si="36"/>
        <v>100.96632</v>
      </c>
      <c r="K18" s="19">
        <v>6.73</v>
      </c>
      <c r="L18" s="18">
        <f t="shared" si="36"/>
        <v>72.441720000000004</v>
      </c>
      <c r="M18" s="39">
        <f>SUM(AA19:AC19)</f>
        <v>78.930822370688702</v>
      </c>
      <c r="N18" s="40">
        <f t="shared" ref="N18:N20" si="37">SUM(M18*10.764)</f>
        <v>849.61137199809298</v>
      </c>
      <c r="O18" s="43">
        <f t="shared" si="27"/>
        <v>282.01082237068903</v>
      </c>
      <c r="P18" s="44">
        <f t="shared" ref="P18:P20" si="38">O18*10.764</f>
        <v>3035.56449199809</v>
      </c>
      <c r="Q18" s="72">
        <f>R18/H49</f>
        <v>6.4848112318757298E-2</v>
      </c>
      <c r="R18" s="65">
        <f>U18/U26*H49</f>
        <v>83.876493916450301</v>
      </c>
      <c r="S18" s="12">
        <f t="shared" ref="S18:S20" si="39">R18*10.764</f>
        <v>902.846580516671</v>
      </c>
      <c r="T18" s="71">
        <v>5</v>
      </c>
      <c r="U18" s="67">
        <f t="shared" si="30"/>
        <v>225.77</v>
      </c>
      <c r="V18" s="66">
        <f t="shared" si="31"/>
        <v>203.08</v>
      </c>
      <c r="W18" s="74">
        <f t="shared" si="32"/>
        <v>0.72011420800391102</v>
      </c>
      <c r="X18" s="70">
        <f t="shared" si="24"/>
        <v>217.51</v>
      </c>
      <c r="Y18" s="74">
        <f t="shared" ref="Y18:Y20" si="40">SUM(X18/O18)</f>
        <v>0.77128245707568799</v>
      </c>
      <c r="Z18" s="98"/>
      <c r="AA18" s="105">
        <v>12.47</v>
      </c>
      <c r="AB18" s="106">
        <f>(U17/U26)*I45</f>
        <v>56.607009237344599</v>
      </c>
      <c r="AC18" s="107">
        <v>3.39</v>
      </c>
      <c r="AD18" s="102">
        <f t="shared" ref="AD18:AF18" si="41">AA18*10.764</f>
        <v>134.22708</v>
      </c>
      <c r="AE18" s="99">
        <f t="shared" si="41"/>
        <v>609.31784743077696</v>
      </c>
      <c r="AF18" s="101">
        <f t="shared" si="41"/>
        <v>36.489960000000004</v>
      </c>
      <c r="AH18" s="98"/>
    </row>
    <row r="19" spans="2:38" ht="15.75">
      <c r="B19" s="267">
        <v>5</v>
      </c>
      <c r="C19" s="222" t="s">
        <v>38</v>
      </c>
      <c r="D19" s="14">
        <v>501</v>
      </c>
      <c r="E19" s="14" t="s">
        <v>36</v>
      </c>
      <c r="F19" s="16"/>
      <c r="G19" s="19">
        <v>220.47</v>
      </c>
      <c r="H19" s="18">
        <f t="shared" ref="H19:L19" si="42">G19*10.764</f>
        <v>2373.1390799999999</v>
      </c>
      <c r="I19" s="19">
        <v>1.97</v>
      </c>
      <c r="J19" s="18">
        <f t="shared" si="42"/>
        <v>21.205079999999999</v>
      </c>
      <c r="K19" s="19">
        <v>7.14</v>
      </c>
      <c r="L19" s="18">
        <f t="shared" si="42"/>
        <v>76.854960000000005</v>
      </c>
      <c r="M19" s="39">
        <f>SUM(AA20:AC20)</f>
        <v>81.272696351019107</v>
      </c>
      <c r="N19" s="40">
        <f t="shared" si="37"/>
        <v>874.81930352236895</v>
      </c>
      <c r="O19" s="43">
        <f t="shared" si="27"/>
        <v>310.85269635101901</v>
      </c>
      <c r="P19" s="44">
        <f t="shared" si="38"/>
        <v>3346.0184235223701</v>
      </c>
      <c r="Q19" s="72">
        <f>R19/H49</f>
        <v>7.1480272984213805E-2</v>
      </c>
      <c r="R19" s="65">
        <f>U19/U26*H49</f>
        <v>92.454729485971697</v>
      </c>
      <c r="S19" s="12">
        <f t="shared" si="39"/>
        <v>995.18270818699898</v>
      </c>
      <c r="T19" s="71">
        <v>1</v>
      </c>
      <c r="U19" s="67">
        <f t="shared" si="30"/>
        <v>248.86</v>
      </c>
      <c r="V19" s="66">
        <f t="shared" si="31"/>
        <v>229.58</v>
      </c>
      <c r="W19" s="74">
        <f>SUM(V19/O19)</f>
        <v>0.73854916716165497</v>
      </c>
      <c r="X19" s="70">
        <f t="shared" si="24"/>
        <v>245.88</v>
      </c>
      <c r="Y19" s="74">
        <f t="shared" si="40"/>
        <v>0.79098557897773203</v>
      </c>
      <c r="Z19" s="98"/>
      <c r="AA19" s="105">
        <v>14.43</v>
      </c>
      <c r="AB19" s="106">
        <f>(U18/U26)*I45</f>
        <v>56.240822370688697</v>
      </c>
      <c r="AC19" s="107">
        <v>8.26</v>
      </c>
      <c r="AD19" s="102">
        <f t="shared" ref="AD19:AF19" si="43">AA20*10.764</f>
        <v>175.45320000000001</v>
      </c>
      <c r="AE19" s="99">
        <f t="shared" si="43"/>
        <v>667.28938352236901</v>
      </c>
      <c r="AF19" s="101">
        <f t="shared" si="43"/>
        <v>32.076720000000002</v>
      </c>
      <c r="AH19" s="98"/>
    </row>
    <row r="20" spans="2:38" ht="15.75">
      <c r="B20" s="265"/>
      <c r="C20" s="223"/>
      <c r="D20" s="14">
        <v>502</v>
      </c>
      <c r="E20" s="15" t="s">
        <v>37</v>
      </c>
      <c r="F20" s="16"/>
      <c r="G20" s="19">
        <v>196.65</v>
      </c>
      <c r="H20" s="18">
        <f>G20*10.764</f>
        <v>2116.7406000000001</v>
      </c>
      <c r="I20" s="17">
        <v>9.64</v>
      </c>
      <c r="J20" s="18">
        <f>I20*10.764</f>
        <v>103.76496</v>
      </c>
      <c r="K20" s="19">
        <v>0</v>
      </c>
      <c r="L20" s="18">
        <f>K20*10.764</f>
        <v>0</v>
      </c>
      <c r="M20" s="39">
        <f>SUM(AA21:AC21)</f>
        <v>71.423895281371401</v>
      </c>
      <c r="N20" s="40">
        <f t="shared" si="37"/>
        <v>768.80680880868101</v>
      </c>
      <c r="O20" s="43">
        <f t="shared" si="27"/>
        <v>277.71389528137098</v>
      </c>
      <c r="P20" s="44">
        <f t="shared" si="38"/>
        <v>2989.3123688086798</v>
      </c>
      <c r="Q20" s="72">
        <f>R20/H49</f>
        <v>6.3860038144258793E-2</v>
      </c>
      <c r="R20" s="65">
        <f>U20/U26*H49</f>
        <v>82.598489136928706</v>
      </c>
      <c r="S20" s="12">
        <f t="shared" si="39"/>
        <v>889.09013706990004</v>
      </c>
      <c r="T20" s="71">
        <v>1</v>
      </c>
      <c r="U20" s="67">
        <f t="shared" si="30"/>
        <v>222.33</v>
      </c>
      <c r="V20" s="66">
        <f t="shared" si="31"/>
        <v>206.29</v>
      </c>
      <c r="W20" s="74">
        <f t="shared" si="32"/>
        <v>0.74281483031662199</v>
      </c>
      <c r="X20" s="70">
        <f t="shared" si="24"/>
        <v>218.89</v>
      </c>
      <c r="Y20" s="74">
        <f t="shared" si="40"/>
        <v>0.78818526447237103</v>
      </c>
      <c r="Z20" s="98"/>
      <c r="AA20" s="105">
        <v>16.3</v>
      </c>
      <c r="AB20" s="106">
        <f>(U19/U26)*I45</f>
        <v>61.992696351019099</v>
      </c>
      <c r="AC20" s="107">
        <v>2.98</v>
      </c>
      <c r="AD20" s="102">
        <f t="shared" ref="AD20:AF20" si="44">AA21*10.764</f>
        <v>135.62639999999999</v>
      </c>
      <c r="AE20" s="99">
        <f t="shared" si="44"/>
        <v>596.15224880868095</v>
      </c>
      <c r="AF20" s="101">
        <f t="shared" si="44"/>
        <v>37.02816</v>
      </c>
      <c r="AH20" s="98"/>
    </row>
    <row r="21" spans="2:38" ht="15.75">
      <c r="B21" s="266"/>
      <c r="C21" s="224"/>
      <c r="D21" s="14">
        <v>503</v>
      </c>
      <c r="E21" s="15" t="s">
        <v>29</v>
      </c>
      <c r="F21" s="16"/>
      <c r="G21" s="19">
        <v>186.97</v>
      </c>
      <c r="H21" s="18">
        <f t="shared" ref="H21:L21" si="45">G21*10.764</f>
        <v>2012.5450800000001</v>
      </c>
      <c r="I21" s="17">
        <v>9.3800000000000008</v>
      </c>
      <c r="J21" s="18">
        <f t="shared" si="45"/>
        <v>100.96632</v>
      </c>
      <c r="K21" s="19">
        <v>6.73</v>
      </c>
      <c r="L21" s="18">
        <f t="shared" si="45"/>
        <v>72.441720000000004</v>
      </c>
      <c r="M21" s="39">
        <f>SUM(AA22:AC22)</f>
        <v>78.930822370688702</v>
      </c>
      <c r="N21" s="40">
        <f>SUM(M21*10.764)</f>
        <v>849.61137199809298</v>
      </c>
      <c r="O21" s="41">
        <f t="shared" si="27"/>
        <v>282.01082237068903</v>
      </c>
      <c r="P21" s="42">
        <f>O21*10.764</f>
        <v>3035.56449199809</v>
      </c>
      <c r="Q21" s="64">
        <f>R21/H49</f>
        <v>6.4848112318757298E-2</v>
      </c>
      <c r="R21" s="65">
        <f>U21/U26*H49</f>
        <v>83.876493916450301</v>
      </c>
      <c r="S21" s="12">
        <f>R21*10.764</f>
        <v>902.846580516671</v>
      </c>
      <c r="T21" s="71">
        <v>6</v>
      </c>
      <c r="U21" s="67">
        <f t="shared" si="30"/>
        <v>225.77</v>
      </c>
      <c r="V21" s="66">
        <f>SUM(G21,I21,K21)</f>
        <v>203.08</v>
      </c>
      <c r="W21" s="68">
        <f>SUM(V21/O21)</f>
        <v>0.72011420800391102</v>
      </c>
      <c r="X21" s="70">
        <f t="shared" si="24"/>
        <v>217.51</v>
      </c>
      <c r="Y21" s="68">
        <f>SUM(X21/O21)</f>
        <v>0.77128245707568799</v>
      </c>
      <c r="Z21" s="98"/>
      <c r="AA21" s="105">
        <v>12.6</v>
      </c>
      <c r="AB21" s="106">
        <f>(U20/U26)*I45</f>
        <v>55.383895281371402</v>
      </c>
      <c r="AC21" s="107">
        <v>3.44</v>
      </c>
      <c r="AD21" s="102">
        <f t="shared" ref="AD21:AF21" si="46">AA21*10.764</f>
        <v>135.62639999999999</v>
      </c>
      <c r="AE21" s="99">
        <f t="shared" si="46"/>
        <v>596.15224880868095</v>
      </c>
      <c r="AF21" s="101">
        <f t="shared" si="46"/>
        <v>37.02816</v>
      </c>
      <c r="AH21" s="98"/>
    </row>
    <row r="22" spans="2:38" ht="15.75">
      <c r="B22" s="19"/>
      <c r="C22" s="20"/>
      <c r="D22" s="20"/>
      <c r="E22" s="20"/>
      <c r="F22" s="16"/>
      <c r="G22" s="19"/>
      <c r="H22" s="21"/>
      <c r="I22" s="19"/>
      <c r="J22" s="21"/>
      <c r="K22" s="19"/>
      <c r="L22" s="21"/>
      <c r="M22" s="19"/>
      <c r="N22" s="21"/>
      <c r="O22" s="19"/>
      <c r="P22" s="16"/>
      <c r="Q22" s="75"/>
      <c r="R22" s="76"/>
      <c r="S22" s="21"/>
      <c r="T22" s="71"/>
      <c r="U22" s="71"/>
      <c r="V22" s="71"/>
      <c r="W22" s="71"/>
      <c r="X22" s="77"/>
      <c r="Y22" s="71"/>
      <c r="Z22" s="98"/>
      <c r="AA22" s="108">
        <v>14.43</v>
      </c>
      <c r="AB22" s="109">
        <f>(U21/U26)*I45</f>
        <v>56.240822370688697</v>
      </c>
      <c r="AC22" s="110">
        <v>8.26</v>
      </c>
      <c r="AD22" s="111">
        <f t="shared" ref="AD22:AF22" si="47">AA22*10.764</f>
        <v>155.32452000000001</v>
      </c>
      <c r="AE22" s="108">
        <f t="shared" si="47"/>
        <v>605.37621199809303</v>
      </c>
      <c r="AF22" s="110">
        <f t="shared" si="47"/>
        <v>88.910640000000001</v>
      </c>
      <c r="AH22" s="98"/>
    </row>
    <row r="23" spans="2:38">
      <c r="B23" s="19"/>
      <c r="C23" s="20"/>
      <c r="D23" s="20"/>
      <c r="E23" s="20"/>
      <c r="F23" s="16"/>
      <c r="G23" s="19"/>
      <c r="H23" s="21"/>
      <c r="I23" s="19"/>
      <c r="J23" s="21"/>
      <c r="K23" s="19"/>
      <c r="L23" s="21"/>
      <c r="M23" s="19"/>
      <c r="N23" s="21"/>
      <c r="O23" s="19"/>
      <c r="P23" s="16"/>
      <c r="Q23" s="71"/>
      <c r="R23" s="78"/>
      <c r="S23" s="21"/>
      <c r="T23" s="71"/>
      <c r="U23" s="71"/>
      <c r="V23" s="71"/>
      <c r="W23" s="71"/>
      <c r="X23" s="77"/>
      <c r="Y23" s="71"/>
      <c r="Z23" s="112"/>
      <c r="AF23" s="112"/>
    </row>
    <row r="24" spans="2:38">
      <c r="B24" s="19"/>
      <c r="C24" s="20"/>
      <c r="D24" s="20"/>
      <c r="E24" s="20"/>
      <c r="F24" s="16"/>
      <c r="G24" s="19"/>
      <c r="H24" s="21"/>
      <c r="I24" s="19"/>
      <c r="J24" s="21"/>
      <c r="K24" s="19"/>
      <c r="L24" s="21"/>
      <c r="M24" s="19"/>
      <c r="N24" s="21"/>
      <c r="O24" s="19"/>
      <c r="P24" s="16"/>
      <c r="Q24" s="71"/>
      <c r="R24" s="78"/>
      <c r="S24" s="21"/>
      <c r="T24" s="71"/>
      <c r="U24" s="71"/>
      <c r="V24" s="71"/>
      <c r="W24" s="71"/>
      <c r="X24" s="77"/>
      <c r="Y24" s="71"/>
      <c r="Z24" s="112"/>
      <c r="AB24" s="46"/>
      <c r="AF24" s="112"/>
    </row>
    <row r="25" spans="2:38">
      <c r="B25" s="22"/>
      <c r="C25" s="23"/>
      <c r="D25" s="23"/>
      <c r="E25" s="23"/>
      <c r="F25" s="24"/>
      <c r="G25" s="22"/>
      <c r="H25" s="25"/>
      <c r="I25" s="22"/>
      <c r="J25" s="25"/>
      <c r="K25" s="22"/>
      <c r="L25" s="25"/>
      <c r="M25" s="22"/>
      <c r="N25" s="25"/>
      <c r="O25" s="22"/>
      <c r="P25" s="24"/>
      <c r="Q25" s="79"/>
      <c r="R25" s="80"/>
      <c r="S25" s="25"/>
      <c r="T25" s="79"/>
      <c r="U25" s="79"/>
      <c r="V25" s="79"/>
      <c r="W25" s="79"/>
      <c r="X25" s="81"/>
      <c r="Y25" s="113"/>
      <c r="Z25" s="112"/>
      <c r="AF25" s="112"/>
    </row>
    <row r="26" spans="2:38" s="3" customFormat="1" ht="19.899999999999999" customHeight="1">
      <c r="B26" s="256" t="s">
        <v>39</v>
      </c>
      <c r="C26" s="257"/>
      <c r="D26" s="257"/>
      <c r="E26" s="258"/>
      <c r="F26" s="28"/>
      <c r="G26" s="29">
        <f t="shared" ref="G26:V26" si="48">SUM(G7:G25)</f>
        <v>2908.62</v>
      </c>
      <c r="H26" s="30">
        <f t="shared" si="48"/>
        <v>31308.385679999999</v>
      </c>
      <c r="I26" s="29">
        <f t="shared" si="48"/>
        <v>175.4</v>
      </c>
      <c r="J26" s="30">
        <f t="shared" si="48"/>
        <v>1888.0056</v>
      </c>
      <c r="K26" s="29">
        <f t="shared" si="48"/>
        <v>92.37</v>
      </c>
      <c r="L26" s="30">
        <f t="shared" si="48"/>
        <v>994.27067999999997</v>
      </c>
      <c r="M26" s="29">
        <f t="shared" si="48"/>
        <v>1172.4000000000001</v>
      </c>
      <c r="N26" s="30">
        <f t="shared" si="48"/>
        <v>12619.713599999999</v>
      </c>
      <c r="O26" s="29">
        <f t="shared" si="48"/>
        <v>4348.79</v>
      </c>
      <c r="P26" s="45">
        <f t="shared" si="48"/>
        <v>46810.37556</v>
      </c>
      <c r="Q26" s="82">
        <f t="shared" si="48"/>
        <v>1</v>
      </c>
      <c r="R26" s="26">
        <f t="shared" si="48"/>
        <v>1293.43</v>
      </c>
      <c r="S26" s="30">
        <f t="shared" si="48"/>
        <v>13922.480519999999</v>
      </c>
      <c r="T26" s="83">
        <f t="shared" si="48"/>
        <v>36</v>
      </c>
      <c r="U26" s="84">
        <f t="shared" si="48"/>
        <v>3481.52</v>
      </c>
      <c r="V26" s="85">
        <f t="shared" si="48"/>
        <v>3176.39</v>
      </c>
      <c r="W26" s="86"/>
      <c r="X26" s="27">
        <f>SUM(X7:X25)</f>
        <v>3398.31</v>
      </c>
      <c r="Y26" s="85"/>
      <c r="Z26" s="114"/>
      <c r="AA26" s="115"/>
      <c r="AB26" s="116">
        <f>SUM(AB8:AB25)</f>
        <v>867.27</v>
      </c>
      <c r="AC26" s="117"/>
      <c r="AD26" s="117"/>
      <c r="AE26" s="117"/>
      <c r="AF26" s="118"/>
      <c r="AH26"/>
      <c r="AI26"/>
      <c r="AJ26"/>
      <c r="AK26"/>
      <c r="AL26"/>
    </row>
    <row r="29" spans="2:38" ht="19.899999999999999" customHeight="1">
      <c r="E29" s="259" t="s">
        <v>40</v>
      </c>
      <c r="F29" s="260"/>
      <c r="G29" s="260"/>
      <c r="H29" s="260"/>
      <c r="I29" s="260"/>
      <c r="J29" s="261"/>
      <c r="O29" s="46"/>
      <c r="Q29" s="46"/>
      <c r="R29" s="46"/>
    </row>
    <row r="30" spans="2:38" ht="19.899999999999999" customHeight="1">
      <c r="E30" s="31" t="s">
        <v>41</v>
      </c>
      <c r="F30" s="32"/>
      <c r="G30" s="250" t="s">
        <v>42</v>
      </c>
      <c r="H30" s="251"/>
      <c r="I30" s="47" t="s">
        <v>25</v>
      </c>
      <c r="J30" s="47" t="s">
        <v>26</v>
      </c>
    </row>
    <row r="31" spans="2:38" ht="19.899999999999999" customHeight="1">
      <c r="E31" s="11">
        <v>1</v>
      </c>
      <c r="F31" s="33"/>
      <c r="G31" s="249" t="s">
        <v>43</v>
      </c>
      <c r="H31" s="249"/>
      <c r="I31" s="12">
        <v>90.23</v>
      </c>
      <c r="J31" s="12">
        <f t="shared" ref="J31:J44" si="49">I31*10.764</f>
        <v>971.23572000000001</v>
      </c>
      <c r="N31" s="48"/>
      <c r="O31" s="49"/>
    </row>
    <row r="32" spans="2:38" ht="30.95" customHeight="1">
      <c r="E32" s="11">
        <v>2</v>
      </c>
      <c r="F32" s="33"/>
      <c r="G32" s="245" t="s">
        <v>44</v>
      </c>
      <c r="H32" s="246"/>
      <c r="I32" s="12">
        <v>3.48</v>
      </c>
      <c r="J32" s="12">
        <f t="shared" si="49"/>
        <v>37.45872</v>
      </c>
    </row>
    <row r="33" spans="5:16" ht="19.899999999999999" customHeight="1">
      <c r="E33" s="11">
        <v>3</v>
      </c>
      <c r="F33" s="33"/>
      <c r="G33" s="249" t="s">
        <v>45</v>
      </c>
      <c r="H33" s="249"/>
      <c r="I33" s="12">
        <v>83.88</v>
      </c>
      <c r="J33" s="12">
        <f t="shared" si="49"/>
        <v>902.88432</v>
      </c>
      <c r="O33" s="50"/>
      <c r="P33" s="50"/>
    </row>
    <row r="34" spans="5:16" ht="29.1" customHeight="1">
      <c r="E34" s="11">
        <v>4</v>
      </c>
      <c r="F34" s="33"/>
      <c r="G34" s="245" t="s">
        <v>46</v>
      </c>
      <c r="H34" s="246"/>
      <c r="I34" s="12">
        <v>2.1</v>
      </c>
      <c r="J34" s="12">
        <f t="shared" si="49"/>
        <v>22.604399999999998</v>
      </c>
    </row>
    <row r="35" spans="5:16" ht="19.899999999999999" customHeight="1">
      <c r="E35" s="11">
        <v>5</v>
      </c>
      <c r="F35" s="33"/>
      <c r="G35" s="249" t="s">
        <v>47</v>
      </c>
      <c r="H35" s="249"/>
      <c r="I35" s="12">
        <v>74.400000000000006</v>
      </c>
      <c r="J35" s="12">
        <f t="shared" si="49"/>
        <v>800.84159999999997</v>
      </c>
    </row>
    <row r="36" spans="5:16" ht="27.95" customHeight="1">
      <c r="E36" s="11">
        <v>6</v>
      </c>
      <c r="F36" s="33"/>
      <c r="G36" s="245" t="s">
        <v>48</v>
      </c>
      <c r="H36" s="246"/>
      <c r="I36" s="12">
        <v>2.76</v>
      </c>
      <c r="J36" s="12">
        <f t="shared" si="49"/>
        <v>29.708639999999999</v>
      </c>
    </row>
    <row r="37" spans="5:16" ht="19.899999999999999" customHeight="1">
      <c r="E37" s="11">
        <v>7</v>
      </c>
      <c r="F37" s="33"/>
      <c r="G37" s="249" t="s">
        <v>49</v>
      </c>
      <c r="H37" s="249"/>
      <c r="I37" s="12">
        <v>65.650000000000006</v>
      </c>
      <c r="J37" s="12">
        <f t="shared" si="49"/>
        <v>706.65660000000003</v>
      </c>
    </row>
    <row r="38" spans="5:16" ht="29.1" customHeight="1">
      <c r="E38" s="11">
        <v>8</v>
      </c>
      <c r="F38" s="33"/>
      <c r="G38" s="245" t="s">
        <v>50</v>
      </c>
      <c r="H38" s="246"/>
      <c r="I38" s="12">
        <v>1.51</v>
      </c>
      <c r="J38" s="12">
        <f t="shared" si="49"/>
        <v>16.253640000000001</v>
      </c>
    </row>
    <row r="39" spans="5:16" ht="19.899999999999999" customHeight="1">
      <c r="E39" s="11">
        <v>9</v>
      </c>
      <c r="F39" s="33"/>
      <c r="G39" s="249" t="s">
        <v>51</v>
      </c>
      <c r="H39" s="249"/>
      <c r="I39" s="12">
        <v>65.650000000000006</v>
      </c>
      <c r="J39" s="12">
        <f t="shared" si="49"/>
        <v>706.65660000000003</v>
      </c>
    </row>
    <row r="40" spans="5:16" ht="35.1" customHeight="1">
      <c r="E40" s="11">
        <v>10</v>
      </c>
      <c r="F40" s="33"/>
      <c r="G40" s="245" t="s">
        <v>52</v>
      </c>
      <c r="H40" s="246"/>
      <c r="I40" s="51">
        <v>1.51</v>
      </c>
      <c r="J40" s="12">
        <f t="shared" si="49"/>
        <v>16.253640000000001</v>
      </c>
      <c r="K40" s="1"/>
    </row>
    <row r="41" spans="5:16" ht="36" customHeight="1">
      <c r="E41" s="11">
        <v>11</v>
      </c>
      <c r="F41" s="2"/>
      <c r="G41" s="247" t="s">
        <v>53</v>
      </c>
      <c r="H41" s="247"/>
      <c r="I41" s="21">
        <v>198.98</v>
      </c>
      <c r="J41" s="12">
        <f t="shared" si="49"/>
        <v>2141.8207200000002</v>
      </c>
      <c r="K41" s="1"/>
    </row>
    <row r="42" spans="5:16" ht="19.899999999999999" customHeight="1">
      <c r="E42" s="11">
        <v>12</v>
      </c>
      <c r="F42" s="2"/>
      <c r="G42" s="247" t="s">
        <v>54</v>
      </c>
      <c r="H42" s="247"/>
      <c r="I42" s="21">
        <v>69.81</v>
      </c>
      <c r="J42" s="12">
        <f t="shared" si="49"/>
        <v>751.43484000000001</v>
      </c>
      <c r="K42" s="1"/>
    </row>
    <row r="43" spans="5:16" ht="19.899999999999999" customHeight="1">
      <c r="E43" s="11">
        <v>13</v>
      </c>
      <c r="F43" s="2"/>
      <c r="G43" s="248" t="s">
        <v>55</v>
      </c>
      <c r="H43" s="248"/>
      <c r="I43" s="21">
        <v>30.93</v>
      </c>
      <c r="J43" s="12">
        <f t="shared" si="49"/>
        <v>332.93052</v>
      </c>
      <c r="K43" s="52"/>
    </row>
    <row r="44" spans="5:16" ht="33" customHeight="1">
      <c r="E44" s="11">
        <v>14</v>
      </c>
      <c r="F44" s="2"/>
      <c r="G44" s="247" t="s">
        <v>56</v>
      </c>
      <c r="H44" s="247"/>
      <c r="I44" s="21">
        <v>176.38</v>
      </c>
      <c r="J44" s="12">
        <f t="shared" si="49"/>
        <v>1898.55432</v>
      </c>
      <c r="K44" s="1"/>
    </row>
    <row r="45" spans="5:16" ht="19.899999999999999" customHeight="1">
      <c r="E45" s="235" t="s">
        <v>39</v>
      </c>
      <c r="F45" s="236"/>
      <c r="G45" s="236"/>
      <c r="H45" s="236"/>
      <c r="I45" s="53">
        <f>SUM(I31:I44)</f>
        <v>867.27</v>
      </c>
      <c r="J45" s="53">
        <f>SUM(J31:J44)</f>
        <v>9335.2942800000001</v>
      </c>
      <c r="K45" s="54"/>
    </row>
    <row r="46" spans="5:16" ht="19.899999999999999" customHeight="1"/>
    <row r="47" spans="5:16" ht="19.899999999999999" customHeight="1">
      <c r="E47" s="237" t="s">
        <v>57</v>
      </c>
      <c r="F47" s="238"/>
      <c r="G47" s="238"/>
      <c r="H47" s="238"/>
      <c r="I47" s="239"/>
    </row>
    <row r="48" spans="5:16" ht="19.899999999999999" customHeight="1">
      <c r="E48" s="240"/>
      <c r="F48" s="241"/>
      <c r="G48" s="241"/>
      <c r="H48" s="34" t="s">
        <v>58</v>
      </c>
      <c r="I48" s="55" t="s">
        <v>59</v>
      </c>
    </row>
    <row r="49" spans="5:9" ht="19.899999999999999" customHeight="1">
      <c r="E49" s="242" t="s">
        <v>60</v>
      </c>
      <c r="F49" s="243"/>
      <c r="G49" s="244"/>
      <c r="H49" s="35">
        <v>1293.43</v>
      </c>
      <c r="I49" s="56">
        <f>H49*10.764</f>
        <v>13922.480519999999</v>
      </c>
    </row>
    <row r="50" spans="5:9" ht="19.899999999999999" customHeight="1">
      <c r="E50" s="229" t="s">
        <v>61</v>
      </c>
      <c r="F50" s="230"/>
      <c r="G50" s="231"/>
      <c r="H50" s="36" t="s">
        <v>62</v>
      </c>
      <c r="I50" s="57"/>
    </row>
    <row r="51" spans="5:9" ht="19.899999999999999" customHeight="1">
      <c r="E51" s="229" t="s">
        <v>63</v>
      </c>
      <c r="F51" s="230"/>
      <c r="G51" s="231"/>
      <c r="H51" s="36" t="s">
        <v>64</v>
      </c>
      <c r="I51" s="57"/>
    </row>
    <row r="52" spans="5:9" ht="19.899999999999999" customHeight="1">
      <c r="E52" s="229" t="s">
        <v>65</v>
      </c>
      <c r="F52" s="230"/>
      <c r="G52" s="231"/>
      <c r="H52" s="37">
        <v>2.8</v>
      </c>
      <c r="I52" s="57"/>
    </row>
    <row r="53" spans="5:9" ht="19.899999999999999" customHeight="1">
      <c r="E53" s="229" t="s">
        <v>66</v>
      </c>
      <c r="F53" s="230"/>
      <c r="G53" s="231"/>
      <c r="H53" s="37">
        <f>H49*H52</f>
        <v>3621.6039999999998</v>
      </c>
      <c r="I53" s="58">
        <f>H53*10.764</f>
        <v>38982.945456000001</v>
      </c>
    </row>
    <row r="54" spans="5:9" ht="19.899999999999999" customHeight="1">
      <c r="E54" s="229" t="s">
        <v>67</v>
      </c>
      <c r="F54" s="230"/>
      <c r="G54" s="231"/>
      <c r="H54" s="36">
        <v>13</v>
      </c>
      <c r="I54" s="57"/>
    </row>
    <row r="55" spans="5:9" ht="19.899999999999999" customHeight="1">
      <c r="E55" s="232" t="s">
        <v>68</v>
      </c>
      <c r="F55" s="233"/>
      <c r="G55" s="234"/>
      <c r="H55" s="38">
        <v>44</v>
      </c>
      <c r="I55" s="59"/>
    </row>
  </sheetData>
  <mergeCells count="59">
    <mergeCell ref="B2:Y2"/>
    <mergeCell ref="B3:T3"/>
    <mergeCell ref="U3:Y3"/>
    <mergeCell ref="AA3:AF3"/>
    <mergeCell ref="B4:Y4"/>
    <mergeCell ref="AA4:AF4"/>
    <mergeCell ref="AA6:AC6"/>
    <mergeCell ref="AD6:AF6"/>
    <mergeCell ref="B26:E26"/>
    <mergeCell ref="E29:J29"/>
    <mergeCell ref="B5:B6"/>
    <mergeCell ref="B7:B9"/>
    <mergeCell ref="B10:B12"/>
    <mergeCell ref="B13:B15"/>
    <mergeCell ref="B16:B18"/>
    <mergeCell ref="B19:B21"/>
    <mergeCell ref="C5:C6"/>
    <mergeCell ref="C7:C9"/>
    <mergeCell ref="C10:C12"/>
    <mergeCell ref="C13:C15"/>
    <mergeCell ref="C16:C18"/>
    <mergeCell ref="G5:H5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E45:H45"/>
    <mergeCell ref="E47:I47"/>
    <mergeCell ref="E48:G48"/>
    <mergeCell ref="E49:G49"/>
    <mergeCell ref="E50:G50"/>
    <mergeCell ref="E51:G51"/>
    <mergeCell ref="E52:G52"/>
    <mergeCell ref="E53:G53"/>
    <mergeCell ref="E54:G54"/>
    <mergeCell ref="E55:G55"/>
    <mergeCell ref="X5:X6"/>
    <mergeCell ref="Y5:Y6"/>
    <mergeCell ref="C19:C21"/>
    <mergeCell ref="D5:D6"/>
    <mergeCell ref="E5:E6"/>
    <mergeCell ref="T5:T6"/>
    <mergeCell ref="W5:W6"/>
    <mergeCell ref="R5:S5"/>
    <mergeCell ref="I5:J5"/>
    <mergeCell ref="K5:L5"/>
    <mergeCell ref="M5:N5"/>
    <mergeCell ref="O5:P5"/>
  </mergeCells>
  <pageMargins left="0.75" right="0.75" top="1" bottom="1" header="0.5" footer="0.5"/>
  <pageSetup paperSize="8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AREAS-CLIENT VIEW ( Combined)</vt:lpstr>
      <vt:lpstr>SHEET 01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Sathish Kanagaguru</dc:creator>
  <cp:lastModifiedBy>GIRI</cp:lastModifiedBy>
  <cp:lastPrinted>2025-11-25T06:53:21Z</cp:lastPrinted>
  <dcterms:created xsi:type="dcterms:W3CDTF">2022-08-16T13:40:00Z</dcterms:created>
  <dcterms:modified xsi:type="dcterms:W3CDTF">2025-11-25T07:19:56Z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BC57114B747C44FD91268390030E9807_13</vt:lpwstr>
  </property>
  <property fmtid="{D5CDD505-2E9C-101B-9397-08002B2CF9AE}" pid="3" name="KSOProductBuildVer">
    <vt:lpwstr>1033-12.2.0.23155</vt:lpwstr>
  </property>
  <property fmtid="{D5CDD505-2E9C-101B-9397-08002B2CF9AE}" pid="4" name="KSOReadingLayout">
    <vt:bool>false</vt:bool>
  </property>
</Properties>
</file>