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K34" i="1"/>
  <c r="K20"/>
  <c r="J20"/>
  <c r="K19"/>
  <c r="K17"/>
  <c r="K16"/>
  <c r="K11"/>
  <c r="K9"/>
  <c r="K7"/>
  <c r="L7"/>
  <c r="J7"/>
  <c r="F5"/>
  <c r="K5"/>
  <c r="I5"/>
  <c r="K6"/>
  <c r="I6"/>
  <c r="F6"/>
  <c r="I7"/>
  <c r="F7"/>
  <c r="K8"/>
  <c r="I8"/>
  <c r="F8"/>
  <c r="I9"/>
  <c r="F9"/>
  <c r="F10"/>
  <c r="K10"/>
  <c r="I10"/>
  <c r="I11"/>
  <c r="F11"/>
  <c r="K12"/>
  <c r="I12"/>
  <c r="F12"/>
  <c r="K13"/>
  <c r="I13"/>
  <c r="F13"/>
  <c r="F14"/>
  <c r="K14"/>
  <c r="I14"/>
  <c r="K15"/>
  <c r="I15"/>
  <c r="F15"/>
  <c r="I16"/>
  <c r="F16"/>
  <c r="I17"/>
  <c r="F17"/>
  <c r="L18"/>
  <c r="K18"/>
  <c r="J18"/>
  <c r="I18"/>
  <c r="F18"/>
  <c r="I19"/>
  <c r="F19"/>
  <c r="I20"/>
  <c r="F20"/>
  <c r="K21"/>
  <c r="I21"/>
  <c r="F21"/>
  <c r="K22"/>
  <c r="I22"/>
  <c r="H22"/>
  <c r="F22"/>
  <c r="I23"/>
  <c r="F23"/>
  <c r="K25"/>
  <c r="I25"/>
  <c r="F25"/>
  <c r="K26"/>
  <c r="I26"/>
  <c r="F26"/>
  <c r="K27"/>
  <c r="I27"/>
  <c r="F27"/>
  <c r="K28"/>
  <c r="I28"/>
  <c r="F28"/>
  <c r="I29"/>
  <c r="K29"/>
  <c r="F29"/>
  <c r="K30"/>
  <c r="I30"/>
  <c r="F30"/>
  <c r="K31"/>
  <c r="I31"/>
  <c r="F31"/>
  <c r="K32"/>
  <c r="I32"/>
  <c r="F32"/>
  <c r="I33"/>
  <c r="I34"/>
  <c r="F33"/>
  <c r="K33"/>
  <c r="F34"/>
  <c r="J5" l="1"/>
  <c r="L5" s="1"/>
  <c r="K35"/>
  <c r="J6"/>
  <c r="L6" s="1"/>
  <c r="F35"/>
  <c r="I35"/>
  <c r="L19"/>
  <c r="J8"/>
  <c r="L8" s="1"/>
  <c r="J9"/>
  <c r="L9" s="1"/>
  <c r="J10"/>
  <c r="L10" s="1"/>
  <c r="J11"/>
  <c r="L11" s="1"/>
  <c r="J12"/>
  <c r="L12" s="1"/>
  <c r="J13"/>
  <c r="L13" s="1"/>
  <c r="J14"/>
  <c r="L14" s="1"/>
  <c r="J15"/>
  <c r="L15" s="1"/>
  <c r="J16"/>
  <c r="L16" s="1"/>
  <c r="J17"/>
  <c r="L17" s="1"/>
  <c r="J19"/>
  <c r="L20"/>
  <c r="J21"/>
  <c r="L21" s="1"/>
  <c r="J22"/>
  <c r="L22" s="1"/>
  <c r="J23"/>
  <c r="L23" s="1"/>
  <c r="J24"/>
  <c r="L24" s="1"/>
  <c r="J25"/>
  <c r="L25" s="1"/>
  <c r="J26"/>
  <c r="L26" s="1"/>
  <c r="J27"/>
  <c r="L27" s="1"/>
  <c r="J28"/>
  <c r="L28" s="1"/>
  <c r="J29"/>
  <c r="L29" s="1"/>
  <c r="J30"/>
  <c r="L30" s="1"/>
  <c r="J31"/>
  <c r="L31" s="1"/>
  <c r="J32"/>
  <c r="L32" s="1"/>
  <c r="J33"/>
  <c r="L33" s="1"/>
  <c r="J34"/>
  <c r="L34" s="1"/>
  <c r="G35"/>
  <c r="H35"/>
  <c r="N35"/>
  <c r="O35"/>
  <c r="M35"/>
  <c r="L35" l="1"/>
  <c r="J35"/>
</calcChain>
</file>

<file path=xl/sharedStrings.xml><?xml version="1.0" encoding="utf-8"?>
<sst xmlns="http://schemas.openxmlformats.org/spreadsheetml/2006/main" count="142" uniqueCount="54">
  <si>
    <t>Carpet Area Statement                                                                                Date:</t>
  </si>
  <si>
    <t>Site Address : Ground +1 floor, Plot No 1 to 30, 30 dwelling units, in Vetri Nagar, Korattur, Chennai, Comprised In  S.No.598/1B1A Part, 1B1A2, 1B1A3, 1B1A4, 2B Part, 598/1A1B,  As  Per Patta New Town Survey No.3/16,  Block No- 21, Ward - E Of Korattur Village , Ambattur Taluk, Chennai- 76, Greater Chennai Corporation, 
Division - 83,Zone - 07.</t>
  </si>
  <si>
    <t>SI.No.</t>
  </si>
  <si>
    <t>Block</t>
  </si>
  <si>
    <t>Floor</t>
  </si>
  <si>
    <t>Type</t>
  </si>
  <si>
    <t>Apartment No.</t>
  </si>
  <si>
    <r>
      <rPr>
        <b/>
        <sz val="12"/>
        <rFont val="Tahoma"/>
        <family val="2"/>
      </rPr>
      <t>(a) Carpet Area (as per Sec 2(k) of the RERA Act)
(sq.m)</t>
    </r>
  </si>
  <si>
    <t>(b) Exclusive Balcony (sq.m)</t>
  </si>
  <si>
    <r>
      <rPr>
        <b/>
        <sz val="12"/>
        <rFont val="Tahoma"/>
        <family val="2"/>
      </rPr>
      <t>(c) Exclusive
Verandah/Utility
/ Service/ Open Terrace (sq.m)</t>
    </r>
  </si>
  <si>
    <r>
      <rPr>
        <b/>
        <sz val="12"/>
        <rFont val="Tahoma"/>
        <family val="2"/>
      </rPr>
      <t>(d)
Area of External walls (sq.m)</t>
    </r>
  </si>
  <si>
    <r>
      <rPr>
        <b/>
        <sz val="12"/>
        <rFont val="Tahoma"/>
        <family val="2"/>
      </rPr>
      <t>e = (a + b + c+ d) Floor area of the apartment
(sq.m)</t>
    </r>
  </si>
  <si>
    <r>
      <rPr>
        <b/>
        <sz val="12"/>
        <rFont val="Tahoma"/>
        <family val="2"/>
      </rPr>
      <t>(f) Proportionate Common Area
(sq.m)</t>
    </r>
  </si>
  <si>
    <r>
      <rPr>
        <b/>
        <sz val="12"/>
        <rFont val="Tahoma"/>
        <family val="2"/>
      </rPr>
      <t>g = (e + f) Gross Area of the apartment
(sq.m)</t>
    </r>
  </si>
  <si>
    <r>
      <rPr>
        <b/>
        <sz val="12"/>
        <rFont val="Tahoma"/>
        <family val="2"/>
      </rPr>
      <t>(h)
UDS land Area (sq.m)</t>
    </r>
  </si>
  <si>
    <r>
      <rPr>
        <b/>
        <sz val="12"/>
        <rFont val="Tahoma"/>
        <family val="2"/>
      </rPr>
      <t>(i)
Car Parking (Nos.)</t>
    </r>
  </si>
  <si>
    <t>Covered</t>
  </si>
  <si>
    <t>Open</t>
  </si>
  <si>
    <t>-</t>
  </si>
  <si>
    <t xml:space="preserve">Groun Floor  + 1st Floor </t>
  </si>
  <si>
    <t>VILLA NO 01</t>
  </si>
  <si>
    <t>VILLA NO 02</t>
  </si>
  <si>
    <t>VILLA NO 03</t>
  </si>
  <si>
    <t>VILLA NO 04</t>
  </si>
  <si>
    <t>VILLA NO 05</t>
  </si>
  <si>
    <t>VILLA NO 06</t>
  </si>
  <si>
    <t>VILLA NO 07</t>
  </si>
  <si>
    <t>VILLA NO 08</t>
  </si>
  <si>
    <t>VILLA NO 09</t>
  </si>
  <si>
    <t>VILLA NO 10</t>
  </si>
  <si>
    <t>VILLA NO 11</t>
  </si>
  <si>
    <t>VILLA NO 12</t>
  </si>
  <si>
    <t>VILLA NO 13</t>
  </si>
  <si>
    <t>VILLA NO 14</t>
  </si>
  <si>
    <t>VILLA NO 15</t>
  </si>
  <si>
    <t>VILLA NO 16</t>
  </si>
  <si>
    <t>VILLA NO 17</t>
  </si>
  <si>
    <t>VILLA NO 18</t>
  </si>
  <si>
    <t>VILLA NO 19</t>
  </si>
  <si>
    <t>VILLA NO 20</t>
  </si>
  <si>
    <t>VILLA NO 21</t>
  </si>
  <si>
    <t>VILLA NO 22</t>
  </si>
  <si>
    <t>VILLA NO 23</t>
  </si>
  <si>
    <t>VILLA NO 24</t>
  </si>
  <si>
    <t>VILLA NO 25</t>
  </si>
  <si>
    <t>VILLA NO 26</t>
  </si>
  <si>
    <t>VILLA NO 27</t>
  </si>
  <si>
    <t>VILLA NO 28</t>
  </si>
  <si>
    <t>VILLA NO 29</t>
  </si>
  <si>
    <t>VILLA NO 30</t>
  </si>
  <si>
    <t>TOTAL</t>
  </si>
  <si>
    <t>Visitors’ Car Parking</t>
  </si>
  <si>
    <t xml:space="preserve"> Note: 
• Carpet Area statement with total UDS for the least extent. 
• If any land reserved for future development, an abstract to be shown in the carpet area statement mentioning the UDS for the approved blocks and UDS for the future development. 
• Car parking to be allotted/provided as per the Tamil Nadu Combined Development and Building Rules (TNCDBR), 2019. 
• If one car parking is required for two apartments, promoter to clearly mention in the carpet area statement as to how car parking will be allotted.  
• Promoter to clearly mention cover, open and visitor carparking. 
• Car parking allotted to individual apartment to be shown in the carpet area statement.</t>
  </si>
  <si>
    <t>Grand Total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</si>
</sst>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sz val="12"/>
      <color rgb="FF000000"/>
      <name val="Tahoma"/>
      <family val="2"/>
    </font>
    <font>
      <b/>
      <sz val="12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8"/>
  <sheetViews>
    <sheetView tabSelected="1" view="pageBreakPreview" zoomScale="85" zoomScaleSheetLayoutView="85" workbookViewId="0">
      <selection activeCell="A38" sqref="A1:O38"/>
    </sheetView>
  </sheetViews>
  <sheetFormatPr defaultRowHeight="15"/>
  <cols>
    <col min="3" max="3" width="12.7109375" customWidth="1"/>
    <col min="5" max="5" width="14.28515625" customWidth="1"/>
    <col min="7" max="7" width="10.42578125" customWidth="1"/>
    <col min="8" max="8" width="11" customWidth="1"/>
    <col min="9" max="9" width="10.5703125" customWidth="1"/>
    <col min="10" max="10" width="13.28515625" customWidth="1"/>
    <col min="11" max="11" width="19.28515625" customWidth="1"/>
    <col min="12" max="12" width="13.85546875" customWidth="1"/>
    <col min="13" max="13" width="11.85546875" customWidth="1"/>
    <col min="14" max="14" width="10.7109375" customWidth="1"/>
    <col min="15" max="15" width="10.28515625" customWidth="1"/>
  </cols>
  <sheetData>
    <row r="1" spans="1: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81.2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</row>
    <row r="3" spans="1: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8" t="s">
        <v>7</v>
      </c>
      <c r="G3" s="14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18" t="s">
        <v>13</v>
      </c>
      <c r="M3" s="18" t="s">
        <v>14</v>
      </c>
      <c r="N3" s="18" t="s">
        <v>15</v>
      </c>
      <c r="O3" s="18"/>
    </row>
    <row r="4" spans="1:15" ht="151.15" customHeight="1">
      <c r="A4" s="14"/>
      <c r="B4" s="14"/>
      <c r="C4" s="14"/>
      <c r="D4" s="14"/>
      <c r="E4" s="14"/>
      <c r="F4" s="18"/>
      <c r="G4" s="14"/>
      <c r="H4" s="18"/>
      <c r="I4" s="18"/>
      <c r="J4" s="18"/>
      <c r="K4" s="18"/>
      <c r="L4" s="18"/>
      <c r="M4" s="18"/>
      <c r="N4" s="3" t="s">
        <v>16</v>
      </c>
      <c r="O4" s="3" t="s">
        <v>17</v>
      </c>
    </row>
    <row r="5" spans="1:15" ht="45">
      <c r="A5" s="4">
        <v>1</v>
      </c>
      <c r="B5" s="4" t="s">
        <v>18</v>
      </c>
      <c r="C5" s="1" t="s">
        <v>19</v>
      </c>
      <c r="D5" s="4" t="s">
        <v>18</v>
      </c>
      <c r="E5" s="5" t="s">
        <v>20</v>
      </c>
      <c r="F5" s="6">
        <f>41.2435+44.2673</f>
        <v>85.510799999999989</v>
      </c>
      <c r="G5" s="4">
        <v>0</v>
      </c>
      <c r="H5" s="4">
        <v>0</v>
      </c>
      <c r="I5" s="4">
        <f>(51.1185-44.2673)+(67.2147-60.3635)</f>
        <v>13.70239999999999</v>
      </c>
      <c r="J5" s="9">
        <f t="shared" ref="J5:J34" si="0">F5+G5+H5+I5</f>
        <v>99.213199999999972</v>
      </c>
      <c r="K5" s="4">
        <f>16.0963+4.95</f>
        <v>21.046299999999999</v>
      </c>
      <c r="L5" s="9">
        <f>J5+K5</f>
        <v>120.25949999999997</v>
      </c>
      <c r="M5" s="1">
        <v>98.22</v>
      </c>
      <c r="N5" s="5">
        <v>1</v>
      </c>
      <c r="O5" s="4">
        <v>0</v>
      </c>
    </row>
    <row r="6" spans="1:15" ht="45">
      <c r="A6" s="4">
        <v>2</v>
      </c>
      <c r="B6" s="4" t="s">
        <v>18</v>
      </c>
      <c r="C6" s="1" t="s">
        <v>19</v>
      </c>
      <c r="D6" s="4" t="s">
        <v>18</v>
      </c>
      <c r="E6" s="5" t="s">
        <v>21</v>
      </c>
      <c r="F6" s="6">
        <f>30.7518+42.467</f>
        <v>73.218800000000002</v>
      </c>
      <c r="G6" s="4">
        <v>2.7801</v>
      </c>
      <c r="H6" s="4">
        <v>0</v>
      </c>
      <c r="I6" s="4">
        <f>(47.7374-42.467)+(3.0498-2.7801)+(36.3656-30.7518)</f>
        <v>11.153900000000004</v>
      </c>
      <c r="J6" s="9">
        <f t="shared" si="0"/>
        <v>87.152800000000013</v>
      </c>
      <c r="K6" s="4">
        <f>14.4202+6.1</f>
        <v>20.520199999999999</v>
      </c>
      <c r="L6" s="9">
        <f t="shared" ref="L6:L34" si="1">J6+K6</f>
        <v>107.67300000000002</v>
      </c>
      <c r="M6" s="1">
        <v>78.540000000000006</v>
      </c>
      <c r="N6" s="5">
        <v>1</v>
      </c>
      <c r="O6" s="4">
        <v>0</v>
      </c>
    </row>
    <row r="7" spans="1:15" ht="45">
      <c r="A7" s="4">
        <v>3</v>
      </c>
      <c r="B7" s="4" t="s">
        <v>18</v>
      </c>
      <c r="C7" s="1" t="s">
        <v>19</v>
      </c>
      <c r="D7" s="4" t="s">
        <v>18</v>
      </c>
      <c r="E7" s="5" t="s">
        <v>22</v>
      </c>
      <c r="F7" s="6">
        <f>42.8041+31.4729</f>
        <v>74.277000000000001</v>
      </c>
      <c r="G7" s="4">
        <v>2.6230000000000002</v>
      </c>
      <c r="H7" s="4">
        <v>0</v>
      </c>
      <c r="I7" s="4">
        <f>(48.1594-42.8041)+(2.8824-2.623)+(37.1612-31.4729)</f>
        <v>11.303000000000001</v>
      </c>
      <c r="J7" s="9">
        <f>I7+H7+G7+F7</f>
        <v>88.203000000000003</v>
      </c>
      <c r="K7" s="4">
        <f>13.8622+4.96</f>
        <v>18.822199999999999</v>
      </c>
      <c r="L7" s="9">
        <f>K7+J7</f>
        <v>107.0252</v>
      </c>
      <c r="M7" s="1">
        <v>78.14</v>
      </c>
      <c r="N7" s="5">
        <v>1</v>
      </c>
      <c r="O7" s="4">
        <v>0</v>
      </c>
    </row>
    <row r="8" spans="1:15" ht="45">
      <c r="A8" s="4">
        <v>4</v>
      </c>
      <c r="B8" s="4" t="s">
        <v>18</v>
      </c>
      <c r="C8" s="1" t="s">
        <v>19</v>
      </c>
      <c r="D8" s="4" t="s">
        <v>18</v>
      </c>
      <c r="E8" s="5" t="s">
        <v>23</v>
      </c>
      <c r="F8" s="6">
        <f>33.6688+43.5694</f>
        <v>77.238200000000006</v>
      </c>
      <c r="G8" s="4">
        <v>2.5133999999999999</v>
      </c>
      <c r="H8" s="4">
        <v>0</v>
      </c>
      <c r="I8" s="4">
        <f>(49.0888-43.5694)+(39.5038-33.6688)+(2.7627-2.5134)</f>
        <v>11.603699999999998</v>
      </c>
      <c r="J8" s="9">
        <f t="shared" si="0"/>
        <v>91.355300000000014</v>
      </c>
      <c r="K8" s="4">
        <f>12.3441+5.81</f>
        <v>18.1541</v>
      </c>
      <c r="L8" s="9">
        <f t="shared" si="1"/>
        <v>109.50940000000001</v>
      </c>
      <c r="M8" s="1">
        <v>78.69</v>
      </c>
      <c r="N8" s="5">
        <v>1</v>
      </c>
      <c r="O8" s="4">
        <v>0</v>
      </c>
    </row>
    <row r="9" spans="1:15" ht="45">
      <c r="A9" s="4">
        <v>5</v>
      </c>
      <c r="B9" s="4" t="s">
        <v>18</v>
      </c>
      <c r="C9" s="1" t="s">
        <v>19</v>
      </c>
      <c r="D9" s="4" t="s">
        <v>18</v>
      </c>
      <c r="E9" s="5" t="s">
        <v>24</v>
      </c>
      <c r="F9" s="6">
        <f>32.987+43.8813</f>
        <v>76.868300000000005</v>
      </c>
      <c r="G9" s="4">
        <v>2.2201</v>
      </c>
      <c r="H9" s="4">
        <v>0</v>
      </c>
      <c r="I9" s="4">
        <f>(49.5351-43.8813)+(2.4398-2.2201)+(38.9019-32.987)</f>
        <v>11.788399999999992</v>
      </c>
      <c r="J9" s="9">
        <f t="shared" si="0"/>
        <v>90.876800000000003</v>
      </c>
      <c r="K9" s="4">
        <f>13.0406+6.78</f>
        <v>19.820599999999999</v>
      </c>
      <c r="L9" s="9">
        <f t="shared" si="1"/>
        <v>110.6974</v>
      </c>
      <c r="M9" s="1">
        <v>78.569999999999993</v>
      </c>
      <c r="N9" s="5">
        <v>1</v>
      </c>
      <c r="O9" s="4">
        <v>0</v>
      </c>
    </row>
    <row r="10" spans="1:15" ht="45">
      <c r="A10" s="4">
        <v>6</v>
      </c>
      <c r="B10" s="4" t="s">
        <v>18</v>
      </c>
      <c r="C10" s="1" t="s">
        <v>19</v>
      </c>
      <c r="D10" s="4" t="s">
        <v>18</v>
      </c>
      <c r="E10" s="5" t="s">
        <v>25</v>
      </c>
      <c r="F10" s="6">
        <f>34.9665+44.0948</f>
        <v>79.061300000000003</v>
      </c>
      <c r="G10" s="4">
        <v>2.6886999999999999</v>
      </c>
      <c r="H10" s="4">
        <v>0</v>
      </c>
      <c r="I10" s="4">
        <f>(49.8651-44.0948)+(3.0043-2.6887)+(40.9979-34.9665)</f>
        <v>12.117299999999997</v>
      </c>
      <c r="J10" s="9">
        <f t="shared" si="0"/>
        <v>93.8673</v>
      </c>
      <c r="K10" s="4">
        <f>11.8726+6.75</f>
        <v>18.622599999999998</v>
      </c>
      <c r="L10" s="9">
        <f t="shared" si="1"/>
        <v>112.48990000000001</v>
      </c>
      <c r="M10" s="1">
        <v>80</v>
      </c>
      <c r="N10" s="5">
        <v>1</v>
      </c>
      <c r="O10" s="4">
        <v>0</v>
      </c>
    </row>
    <row r="11" spans="1:15" ht="45">
      <c r="A11" s="4">
        <v>7</v>
      </c>
      <c r="B11" s="4" t="s">
        <v>18</v>
      </c>
      <c r="C11" s="1" t="s">
        <v>19</v>
      </c>
      <c r="D11" s="4" t="s">
        <v>18</v>
      </c>
      <c r="E11" s="5" t="s">
        <v>26</v>
      </c>
      <c r="F11" s="6">
        <f>37.4206+46.8586</f>
        <v>84.279200000000003</v>
      </c>
      <c r="G11" s="4">
        <v>2.3235999999999999</v>
      </c>
      <c r="H11" s="4">
        <v>0</v>
      </c>
      <c r="I11" s="4">
        <f>(52.8155-46.8586)+(2.561-2.3236)+(43.6582-37.4206)</f>
        <v>12.431899999999999</v>
      </c>
      <c r="J11" s="9">
        <f t="shared" si="0"/>
        <v>99.034700000000001</v>
      </c>
      <c r="K11" s="4">
        <f>11.7072+5.1</f>
        <v>16.807200000000002</v>
      </c>
      <c r="L11" s="9">
        <f t="shared" si="1"/>
        <v>115.84190000000001</v>
      </c>
      <c r="M11" s="1">
        <v>82.19</v>
      </c>
      <c r="N11" s="5">
        <v>1</v>
      </c>
      <c r="O11" s="4">
        <v>0</v>
      </c>
    </row>
    <row r="12" spans="1:15" ht="45">
      <c r="A12" s="4">
        <v>8</v>
      </c>
      <c r="B12" s="4" t="s">
        <v>18</v>
      </c>
      <c r="C12" s="1" t="s">
        <v>19</v>
      </c>
      <c r="D12" s="4" t="s">
        <v>18</v>
      </c>
      <c r="E12" s="5" t="s">
        <v>27</v>
      </c>
      <c r="F12" s="6">
        <f>38.2486+47.3769</f>
        <v>85.625500000000002</v>
      </c>
      <c r="G12" s="4">
        <v>2.6886999999999999</v>
      </c>
      <c r="H12" s="4">
        <v>0</v>
      </c>
      <c r="I12" s="4">
        <f>(53.4284-47.3769)+(3.0043-2.6887)+(44.56-38.2486)</f>
        <v>12.678500000000003</v>
      </c>
      <c r="J12" s="9">
        <f t="shared" si="0"/>
        <v>100.9927</v>
      </c>
      <c r="K12" s="4">
        <f>11.8726+6.75</f>
        <v>18.622599999999998</v>
      </c>
      <c r="L12" s="9">
        <f t="shared" si="1"/>
        <v>119.61529999999999</v>
      </c>
      <c r="M12" s="1">
        <v>83.42</v>
      </c>
      <c r="N12" s="5">
        <v>1</v>
      </c>
      <c r="O12" s="4">
        <v>0</v>
      </c>
    </row>
    <row r="13" spans="1:15" ht="45">
      <c r="A13" s="4">
        <v>9</v>
      </c>
      <c r="B13" s="4" t="s">
        <v>18</v>
      </c>
      <c r="C13" s="1" t="s">
        <v>19</v>
      </c>
      <c r="D13" s="4" t="s">
        <v>18</v>
      </c>
      <c r="E13" s="5" t="s">
        <v>28</v>
      </c>
      <c r="F13" s="6">
        <f>39.0457+48.174</f>
        <v>87.219699999999989</v>
      </c>
      <c r="G13" s="4">
        <v>2.6886999999999999</v>
      </c>
      <c r="H13" s="4">
        <v>0</v>
      </c>
      <c r="I13" s="4">
        <f>(54.2934-48.174)+(3.0043-2.6887)+(45.4251-39.0457)</f>
        <v>12.814400000000003</v>
      </c>
      <c r="J13" s="9">
        <f t="shared" si="0"/>
        <v>102.72279999999999</v>
      </c>
      <c r="K13" s="4">
        <f>11.8726+6.75</f>
        <v>18.622599999999998</v>
      </c>
      <c r="L13" s="9">
        <f t="shared" si="1"/>
        <v>121.34539999999998</v>
      </c>
      <c r="M13" s="1">
        <v>84.42</v>
      </c>
      <c r="N13" s="5">
        <v>1</v>
      </c>
      <c r="O13" s="4">
        <v>0</v>
      </c>
    </row>
    <row r="14" spans="1:15" ht="45">
      <c r="A14" s="4">
        <v>10</v>
      </c>
      <c r="B14" s="4" t="s">
        <v>18</v>
      </c>
      <c r="C14" s="1" t="s">
        <v>19</v>
      </c>
      <c r="D14" s="4" t="s">
        <v>18</v>
      </c>
      <c r="E14" s="5" t="s">
        <v>29</v>
      </c>
      <c r="F14" s="6">
        <f>39.7959+48.92</f>
        <v>88.715900000000005</v>
      </c>
      <c r="G14" s="4">
        <v>2.6886999999999999</v>
      </c>
      <c r="H14" s="4">
        <v>0</v>
      </c>
      <c r="I14" s="4">
        <f>(55.1076-48.9242)+(3.0043-2.6887)+(46.2393-39.7959)</f>
        <v>12.942399999999996</v>
      </c>
      <c r="J14" s="9">
        <f t="shared" si="0"/>
        <v>104.34699999999999</v>
      </c>
      <c r="K14" s="4">
        <f>11.8726+6.75</f>
        <v>18.622599999999998</v>
      </c>
      <c r="L14" s="9">
        <f t="shared" si="1"/>
        <v>122.96959999999999</v>
      </c>
      <c r="M14" s="1">
        <v>85.37</v>
      </c>
      <c r="N14" s="5">
        <v>1</v>
      </c>
      <c r="O14" s="4">
        <v>0</v>
      </c>
    </row>
    <row r="15" spans="1:15" ht="45">
      <c r="A15" s="4">
        <v>11</v>
      </c>
      <c r="B15" s="4" t="s">
        <v>18</v>
      </c>
      <c r="C15" s="1" t="s">
        <v>19</v>
      </c>
      <c r="D15" s="4" t="s">
        <v>18</v>
      </c>
      <c r="E15" s="5" t="s">
        <v>30</v>
      </c>
      <c r="F15" s="6">
        <f>34.4879+51.1371</f>
        <v>85.625</v>
      </c>
      <c r="G15" s="4">
        <v>1.3937999999999999</v>
      </c>
      <c r="H15" s="4">
        <v>0</v>
      </c>
      <c r="I15" s="4">
        <f>(57.4247-51.1371)+(1.566-1.3938)+(39.359-34.4879)</f>
        <v>11.330900000000003</v>
      </c>
      <c r="J15" s="9">
        <f t="shared" si="0"/>
        <v>98.349699999999999</v>
      </c>
      <c r="K15" s="4">
        <f>19.6311+6</f>
        <v>25.6311</v>
      </c>
      <c r="L15" s="9">
        <f t="shared" si="1"/>
        <v>123.9808</v>
      </c>
      <c r="M15" s="1">
        <v>86.22</v>
      </c>
      <c r="N15" s="5">
        <v>1</v>
      </c>
      <c r="O15" s="4">
        <v>0</v>
      </c>
    </row>
    <row r="16" spans="1:15" ht="45">
      <c r="A16" s="4">
        <v>12</v>
      </c>
      <c r="B16" s="4" t="s">
        <v>18</v>
      </c>
      <c r="C16" s="1" t="s">
        <v>19</v>
      </c>
      <c r="D16" s="4" t="s">
        <v>18</v>
      </c>
      <c r="E16" s="5" t="s">
        <v>31</v>
      </c>
      <c r="F16" s="6">
        <f>35.0988+51.7479</f>
        <v>86.846699999999998</v>
      </c>
      <c r="G16" s="4">
        <v>1.3937999999999999</v>
      </c>
      <c r="H16" s="4">
        <v>0</v>
      </c>
      <c r="I16" s="4">
        <f>(58.1005-51.7479)+(1.566-1.3938)+(40.0217-35.0988)</f>
        <v>11.447700000000001</v>
      </c>
      <c r="J16" s="9">
        <f t="shared" si="0"/>
        <v>99.688199999999995</v>
      </c>
      <c r="K16" s="4">
        <f>19.6311+5.99</f>
        <v>25.621099999999998</v>
      </c>
      <c r="L16" s="9">
        <f t="shared" si="1"/>
        <v>125.30929999999999</v>
      </c>
      <c r="M16" s="1">
        <v>87.06</v>
      </c>
      <c r="N16" s="5">
        <v>1</v>
      </c>
      <c r="O16" s="4">
        <v>0</v>
      </c>
    </row>
    <row r="17" spans="1:15" ht="45">
      <c r="A17" s="4">
        <v>13</v>
      </c>
      <c r="B17" s="4" t="s">
        <v>18</v>
      </c>
      <c r="C17" s="1" t="s">
        <v>19</v>
      </c>
      <c r="D17" s="4" t="s">
        <v>18</v>
      </c>
      <c r="E17" s="5" t="s">
        <v>32</v>
      </c>
      <c r="F17" s="6">
        <f>35.7566+52.4057</f>
        <v>88.162300000000002</v>
      </c>
      <c r="G17" s="4">
        <v>1.3937999999999999</v>
      </c>
      <c r="H17" s="4">
        <v>0</v>
      </c>
      <c r="I17" s="4">
        <f>(58.8096-52.4057)+(1.566-1.3938)+(40.7355-35.7566)</f>
        <v>11.555000000000003</v>
      </c>
      <c r="J17" s="9">
        <f t="shared" si="0"/>
        <v>101.11110000000001</v>
      </c>
      <c r="K17" s="4">
        <f>19.6311+5.99</f>
        <v>25.621099999999998</v>
      </c>
      <c r="L17" s="9">
        <f t="shared" si="1"/>
        <v>126.73220000000001</v>
      </c>
      <c r="M17" s="1">
        <v>88.06</v>
      </c>
      <c r="N17" s="5">
        <v>1</v>
      </c>
      <c r="O17" s="4">
        <v>0</v>
      </c>
    </row>
    <row r="18" spans="1:15" ht="45">
      <c r="A18" s="4">
        <v>14</v>
      </c>
      <c r="B18" s="4" t="s">
        <v>18</v>
      </c>
      <c r="C18" s="1" t="s">
        <v>19</v>
      </c>
      <c r="D18" s="4" t="s">
        <v>18</v>
      </c>
      <c r="E18" s="5" t="s">
        <v>33</v>
      </c>
      <c r="F18" s="6">
        <f>36.6023+53.2515</f>
        <v>89.853800000000007</v>
      </c>
      <c r="G18" s="4">
        <v>1.3937999999999999</v>
      </c>
      <c r="H18" s="4">
        <v>0</v>
      </c>
      <c r="I18" s="4">
        <f>(59.7264-53.2515)+(1.566-1.3938)+(41.6589-36.6023)</f>
        <v>11.703700000000001</v>
      </c>
      <c r="J18" s="9">
        <f>F18+G18+I18</f>
        <v>102.9513</v>
      </c>
      <c r="K18" s="10">
        <f>19.6319+6</f>
        <v>25.631900000000002</v>
      </c>
      <c r="L18" s="9">
        <f>J18+K18</f>
        <v>128.58320000000001</v>
      </c>
      <c r="M18" s="1">
        <v>88.96</v>
      </c>
      <c r="N18" s="5">
        <v>1</v>
      </c>
      <c r="O18" s="4">
        <v>0</v>
      </c>
    </row>
    <row r="19" spans="1:15" ht="45">
      <c r="A19" s="4">
        <v>15</v>
      </c>
      <c r="B19" s="4" t="s">
        <v>18</v>
      </c>
      <c r="C19" s="1" t="s">
        <v>19</v>
      </c>
      <c r="D19" s="4" t="s">
        <v>18</v>
      </c>
      <c r="E19" s="5" t="s">
        <v>34</v>
      </c>
      <c r="F19" s="6">
        <f>37.2602+53.9093</f>
        <v>91.169499999999999</v>
      </c>
      <c r="G19" s="4">
        <v>1.3937999999999999</v>
      </c>
      <c r="H19" s="4">
        <v>0</v>
      </c>
      <c r="I19" s="4">
        <f>(60.4319-53.9093)+(1.566-1.3938)+(42.3727-37.2602)</f>
        <v>11.807300000000001</v>
      </c>
      <c r="J19" s="9">
        <f t="shared" si="0"/>
        <v>104.3706</v>
      </c>
      <c r="K19" s="4">
        <f>19.6319+6.01</f>
        <v>25.6419</v>
      </c>
      <c r="L19" s="9">
        <f t="shared" si="1"/>
        <v>130.01249999999999</v>
      </c>
      <c r="M19" s="1">
        <v>89.81</v>
      </c>
      <c r="N19" s="5">
        <v>1</v>
      </c>
      <c r="O19" s="4">
        <v>0</v>
      </c>
    </row>
    <row r="20" spans="1:15" ht="45">
      <c r="A20" s="4">
        <v>16</v>
      </c>
      <c r="B20" s="4" t="s">
        <v>18</v>
      </c>
      <c r="C20" s="1" t="s">
        <v>19</v>
      </c>
      <c r="D20" s="4" t="s">
        <v>18</v>
      </c>
      <c r="E20" s="5" t="s">
        <v>35</v>
      </c>
      <c r="F20" s="6">
        <f>37.965+54.6141</f>
        <v>92.579100000000011</v>
      </c>
      <c r="G20" s="4">
        <v>1.3937999999999999</v>
      </c>
      <c r="H20" s="4">
        <v>0</v>
      </c>
      <c r="I20" s="4">
        <f>(61.2071-54.6141)+(1.566-1.3938)+(43.141-37.965)</f>
        <v>11.941199999999991</v>
      </c>
      <c r="J20" s="9">
        <f>F20+G20+H20+I20</f>
        <v>105.9141</v>
      </c>
      <c r="K20" s="4">
        <f>19.6327+5.99</f>
        <v>25.622700000000002</v>
      </c>
      <c r="L20" s="9">
        <f t="shared" si="1"/>
        <v>131.5368</v>
      </c>
      <c r="M20" s="1">
        <v>90.69</v>
      </c>
      <c r="N20" s="5">
        <v>1</v>
      </c>
      <c r="O20" s="4">
        <v>0</v>
      </c>
    </row>
    <row r="21" spans="1:15" ht="45">
      <c r="A21" s="4">
        <v>17</v>
      </c>
      <c r="B21" s="4" t="s">
        <v>18</v>
      </c>
      <c r="C21" s="1" t="s">
        <v>19</v>
      </c>
      <c r="D21" s="4" t="s">
        <v>18</v>
      </c>
      <c r="E21" s="5" t="s">
        <v>36</v>
      </c>
      <c r="F21" s="6">
        <f>38.288+55.241</f>
        <v>93.528999999999996</v>
      </c>
      <c r="G21" s="4">
        <v>1.3937999999999999</v>
      </c>
      <c r="H21" s="4">
        <v>0</v>
      </c>
      <c r="I21" s="4">
        <f>(61.8774-55.241)+(1.566-1.3938)+(43.4911-38.288)</f>
        <v>12.011700000000008</v>
      </c>
      <c r="J21" s="9">
        <f t="shared" si="0"/>
        <v>106.9345</v>
      </c>
      <c r="K21" s="4">
        <f>19.9523+4.28</f>
        <v>24.232300000000002</v>
      </c>
      <c r="L21" s="9">
        <f t="shared" si="1"/>
        <v>131.16679999999999</v>
      </c>
      <c r="M21" s="1">
        <v>94.11</v>
      </c>
      <c r="N21" s="5">
        <v>1</v>
      </c>
      <c r="O21" s="4">
        <v>0</v>
      </c>
    </row>
    <row r="22" spans="1:15" ht="45">
      <c r="A22" s="4">
        <v>18</v>
      </c>
      <c r="B22" s="4" t="s">
        <v>18</v>
      </c>
      <c r="C22" s="1" t="s">
        <v>19</v>
      </c>
      <c r="D22" s="4" t="s">
        <v>18</v>
      </c>
      <c r="E22" s="5" t="s">
        <v>37</v>
      </c>
      <c r="F22" s="6">
        <f>32.0967+45.9818</f>
        <v>78.078499999999991</v>
      </c>
      <c r="G22" s="4">
        <v>2.7673999999999999</v>
      </c>
      <c r="H22" s="4">
        <f>2.8404+3.5667</f>
        <v>6.4070999999999998</v>
      </c>
      <c r="I22" s="4">
        <f>(52.284-45.9818)+(3.0348-2.7674)+(4.9545-3.5667)+(36.9531-32.0967)+(3.855-2.8404)</f>
        <v>13.8284</v>
      </c>
      <c r="J22" s="9">
        <f t="shared" si="0"/>
        <v>101.08139999999999</v>
      </c>
      <c r="K22" s="4">
        <f>9.555+6.3</f>
        <v>15.855</v>
      </c>
      <c r="L22" s="9">
        <f t="shared" si="1"/>
        <v>116.93639999999999</v>
      </c>
      <c r="M22" s="1">
        <v>100</v>
      </c>
      <c r="N22" s="5">
        <v>1</v>
      </c>
      <c r="O22" s="4">
        <v>0</v>
      </c>
    </row>
    <row r="23" spans="1:15" ht="45">
      <c r="A23" s="4">
        <v>19</v>
      </c>
      <c r="B23" s="4" t="s">
        <v>18</v>
      </c>
      <c r="C23" s="1" t="s">
        <v>19</v>
      </c>
      <c r="D23" s="4" t="s">
        <v>18</v>
      </c>
      <c r="E23" s="5" t="s">
        <v>38</v>
      </c>
      <c r="F23" s="6">
        <f>22.6888+30.7386</f>
        <v>53.427400000000006</v>
      </c>
      <c r="G23" s="4">
        <v>0</v>
      </c>
      <c r="H23" s="4">
        <v>0</v>
      </c>
      <c r="I23" s="10">
        <f>(35.5003-30.7386)+(27.188-22.6888)</f>
        <v>9.2608999999999995</v>
      </c>
      <c r="J23" s="9">
        <f t="shared" si="0"/>
        <v>62.688300000000005</v>
      </c>
      <c r="K23" s="4">
        <v>12.852</v>
      </c>
      <c r="L23" s="9">
        <f t="shared" si="1"/>
        <v>75.540300000000002</v>
      </c>
      <c r="M23" s="1">
        <v>60.14</v>
      </c>
      <c r="N23" s="5">
        <v>1</v>
      </c>
      <c r="O23" s="4">
        <v>0</v>
      </c>
    </row>
    <row r="24" spans="1:15" ht="45">
      <c r="A24" s="4">
        <v>20</v>
      </c>
      <c r="B24" s="4" t="s">
        <v>18</v>
      </c>
      <c r="C24" s="1" t="s">
        <v>19</v>
      </c>
      <c r="D24" s="4" t="s">
        <v>18</v>
      </c>
      <c r="E24" s="5" t="s">
        <v>39</v>
      </c>
      <c r="F24" s="6">
        <v>79.64</v>
      </c>
      <c r="G24" s="10">
        <v>3.7608999999999999</v>
      </c>
      <c r="H24" s="4">
        <v>0</v>
      </c>
      <c r="I24" s="4">
        <v>11.430300000000001</v>
      </c>
      <c r="J24" s="9">
        <f t="shared" si="0"/>
        <v>94.83120000000001</v>
      </c>
      <c r="K24" s="4">
        <v>15.23</v>
      </c>
      <c r="L24" s="9">
        <f t="shared" si="1"/>
        <v>110.06120000000001</v>
      </c>
      <c r="M24" s="1">
        <v>80.22</v>
      </c>
      <c r="N24" s="5">
        <v>1</v>
      </c>
      <c r="O24" s="4">
        <v>0</v>
      </c>
    </row>
    <row r="25" spans="1:15" ht="45">
      <c r="A25" s="4">
        <v>21</v>
      </c>
      <c r="B25" s="4" t="s">
        <v>18</v>
      </c>
      <c r="C25" s="1" t="s">
        <v>19</v>
      </c>
      <c r="D25" s="4" t="s">
        <v>18</v>
      </c>
      <c r="E25" s="5" t="s">
        <v>40</v>
      </c>
      <c r="F25" s="6">
        <f>36.772+42.867</f>
        <v>79.638999999999996</v>
      </c>
      <c r="G25" s="4">
        <v>3.7608999999999999</v>
      </c>
      <c r="H25" s="4">
        <v>0</v>
      </c>
      <c r="I25" s="4">
        <f>(48.3701-42.867)+(4.05-3.7609)+(42.4101-36.772)</f>
        <v>11.430300000000004</v>
      </c>
      <c r="J25" s="9">
        <f t="shared" si="0"/>
        <v>94.830200000000005</v>
      </c>
      <c r="K25" s="4">
        <f>10.01+5.22</f>
        <v>15.23</v>
      </c>
      <c r="L25" s="9">
        <f t="shared" si="1"/>
        <v>110.06020000000001</v>
      </c>
      <c r="M25" s="1">
        <v>80.81</v>
      </c>
      <c r="N25" s="5">
        <v>1</v>
      </c>
      <c r="O25" s="4">
        <v>0</v>
      </c>
    </row>
    <row r="26" spans="1:15" ht="45">
      <c r="A26" s="4">
        <v>22</v>
      </c>
      <c r="B26" s="4" t="s">
        <v>18</v>
      </c>
      <c r="C26" s="1" t="s">
        <v>19</v>
      </c>
      <c r="D26" s="4" t="s">
        <v>18</v>
      </c>
      <c r="E26" s="5" t="s">
        <v>41</v>
      </c>
      <c r="F26" s="6">
        <f>36.772+42.867</f>
        <v>79.638999999999996</v>
      </c>
      <c r="G26" s="4">
        <v>3.7608999999999999</v>
      </c>
      <c r="H26" s="4">
        <v>0</v>
      </c>
      <c r="I26" s="4">
        <f>(48.3701-42.867)+(4.05-3.7609)+(42.4101-36.772)</f>
        <v>11.430300000000004</v>
      </c>
      <c r="J26" s="9">
        <f t="shared" si="0"/>
        <v>94.830200000000005</v>
      </c>
      <c r="K26" s="4">
        <f>10.01+5.22</f>
        <v>15.23</v>
      </c>
      <c r="L26" s="9">
        <f t="shared" si="1"/>
        <v>110.06020000000001</v>
      </c>
      <c r="M26" s="1">
        <v>80.930000000000007</v>
      </c>
      <c r="N26" s="5">
        <v>1</v>
      </c>
      <c r="O26" s="4">
        <v>0</v>
      </c>
    </row>
    <row r="27" spans="1:15" ht="45">
      <c r="A27" s="4">
        <v>23</v>
      </c>
      <c r="B27" s="4" t="s">
        <v>18</v>
      </c>
      <c r="C27" s="1" t="s">
        <v>19</v>
      </c>
      <c r="D27" s="4" t="s">
        <v>18</v>
      </c>
      <c r="E27" s="5" t="s">
        <v>42</v>
      </c>
      <c r="F27" s="6">
        <f>(37.8664+42.8984)</f>
        <v>80.764800000000008</v>
      </c>
      <c r="G27" s="4">
        <v>5.0591999999999997</v>
      </c>
      <c r="H27" s="4">
        <v>0</v>
      </c>
      <c r="I27" s="4">
        <f>(48.1407-42.8984)+(5.4197-5.0592)+(43.5704-37.8664)</f>
        <v>11.306800000000001</v>
      </c>
      <c r="J27" s="9">
        <f t="shared" si="0"/>
        <v>97.130800000000008</v>
      </c>
      <c r="K27" s="4">
        <f>9.99+5.32</f>
        <v>15.31</v>
      </c>
      <c r="L27" s="9">
        <f t="shared" si="1"/>
        <v>112.44080000000001</v>
      </c>
      <c r="M27" s="1">
        <v>81.17</v>
      </c>
      <c r="N27" s="5">
        <v>1</v>
      </c>
      <c r="O27" s="4">
        <v>0</v>
      </c>
    </row>
    <row r="28" spans="1:15" ht="45">
      <c r="A28" s="4">
        <v>24</v>
      </c>
      <c r="B28" s="4" t="s">
        <v>18</v>
      </c>
      <c r="C28" s="1" t="s">
        <v>19</v>
      </c>
      <c r="D28" s="4" t="s">
        <v>18</v>
      </c>
      <c r="E28" s="5" t="s">
        <v>43</v>
      </c>
      <c r="F28" s="6">
        <f>(38.062+43.094)</f>
        <v>81.156000000000006</v>
      </c>
      <c r="G28" s="4">
        <v>5.0591999999999997</v>
      </c>
      <c r="H28" s="4">
        <v>0</v>
      </c>
      <c r="I28" s="4">
        <f>(48.3483-43.094)+(5.4197-5.0592)+(43.778-38.062)</f>
        <v>11.330800000000002</v>
      </c>
      <c r="J28" s="9">
        <f t="shared" si="0"/>
        <v>97.546000000000006</v>
      </c>
      <c r="K28" s="4">
        <f>9.99+5.5</f>
        <v>15.49</v>
      </c>
      <c r="L28" s="9">
        <f t="shared" si="1"/>
        <v>113.036</v>
      </c>
      <c r="M28" s="1">
        <v>81.489999999999995</v>
      </c>
      <c r="N28" s="5">
        <v>1</v>
      </c>
      <c r="O28" s="4">
        <v>0</v>
      </c>
    </row>
    <row r="29" spans="1:15" ht="45">
      <c r="A29" s="4">
        <v>25</v>
      </c>
      <c r="B29" s="4" t="s">
        <v>18</v>
      </c>
      <c r="C29" s="1" t="s">
        <v>19</v>
      </c>
      <c r="D29" s="4" t="s">
        <v>18</v>
      </c>
      <c r="E29" s="5" t="s">
        <v>44</v>
      </c>
      <c r="F29" s="6">
        <f>38.1272+43.1592</f>
        <v>81.2864</v>
      </c>
      <c r="G29" s="4">
        <v>5.0591999999999997</v>
      </c>
      <c r="H29" s="4">
        <v>0</v>
      </c>
      <c r="I29" s="4">
        <f>(48.4175-43.1592)+(5.4197-5.0592)+(43.8472-38.1272)</f>
        <v>11.338799999999997</v>
      </c>
      <c r="J29" s="9">
        <f t="shared" si="0"/>
        <v>97.684399999999997</v>
      </c>
      <c r="K29" s="4">
        <f>9.99+5.52</f>
        <v>15.51</v>
      </c>
      <c r="L29" s="9">
        <f t="shared" si="1"/>
        <v>113.1944</v>
      </c>
      <c r="M29" s="1">
        <v>81.53</v>
      </c>
      <c r="N29" s="5">
        <v>1</v>
      </c>
      <c r="O29" s="4">
        <v>0</v>
      </c>
    </row>
    <row r="30" spans="1:15" ht="45">
      <c r="A30" s="4">
        <v>26</v>
      </c>
      <c r="B30" s="4" t="s">
        <v>18</v>
      </c>
      <c r="C30" s="1" t="s">
        <v>19</v>
      </c>
      <c r="D30" s="4" t="s">
        <v>18</v>
      </c>
      <c r="E30" s="5" t="s">
        <v>45</v>
      </c>
      <c r="F30" s="6">
        <f>(33.762+39.3117)</f>
        <v>73.073700000000002</v>
      </c>
      <c r="G30" s="4">
        <v>4.9367999999999999</v>
      </c>
      <c r="H30" s="4">
        <v>0</v>
      </c>
      <c r="I30" s="4">
        <f>(44.0608-39.3117)+(5.291-4.9368)+(39.3618-33.762)</f>
        <v>10.703100000000001</v>
      </c>
      <c r="J30" s="9">
        <f t="shared" si="0"/>
        <v>88.713600000000014</v>
      </c>
      <c r="K30" s="4">
        <f>9.99+5.39</f>
        <v>15.379999999999999</v>
      </c>
      <c r="L30" s="9">
        <f t="shared" si="1"/>
        <v>104.09360000000001</v>
      </c>
      <c r="M30" s="1">
        <v>79.23</v>
      </c>
      <c r="N30" s="5">
        <v>1</v>
      </c>
      <c r="O30" s="4">
        <v>0</v>
      </c>
    </row>
    <row r="31" spans="1:15" ht="45">
      <c r="A31" s="4">
        <v>27</v>
      </c>
      <c r="B31" s="4" t="s">
        <v>18</v>
      </c>
      <c r="C31" s="1" t="s">
        <v>19</v>
      </c>
      <c r="D31" s="4" t="s">
        <v>18</v>
      </c>
      <c r="E31" s="5" t="s">
        <v>46</v>
      </c>
      <c r="F31" s="6">
        <f>43.3462+37.2835</f>
        <v>80.6297</v>
      </c>
      <c r="G31" s="4">
        <v>4.9287999999999998</v>
      </c>
      <c r="H31" s="4">
        <v>0</v>
      </c>
      <c r="I31" s="4">
        <f>(49.2737-43.3462)+(5.2459-4.9288)+(43.211-37.2835)</f>
        <v>12.172099999999997</v>
      </c>
      <c r="J31" s="9">
        <f t="shared" si="0"/>
        <v>97.730599999999995</v>
      </c>
      <c r="K31" s="4">
        <f>(11.3086+7.9)</f>
        <v>19.208600000000001</v>
      </c>
      <c r="L31" s="9">
        <f t="shared" si="1"/>
        <v>116.9392</v>
      </c>
      <c r="M31" s="1">
        <v>82.69</v>
      </c>
      <c r="N31" s="5">
        <v>1</v>
      </c>
      <c r="O31" s="4">
        <v>0</v>
      </c>
    </row>
    <row r="32" spans="1:15" ht="45">
      <c r="A32" s="4">
        <v>28</v>
      </c>
      <c r="B32" s="4" t="s">
        <v>18</v>
      </c>
      <c r="C32" s="1" t="s">
        <v>19</v>
      </c>
      <c r="D32" s="4" t="s">
        <v>18</v>
      </c>
      <c r="E32" s="5" t="s">
        <v>47</v>
      </c>
      <c r="F32" s="6">
        <f>41.9761+47.0162</f>
        <v>88.9923</v>
      </c>
      <c r="G32" s="4">
        <v>4.9287999999999998</v>
      </c>
      <c r="H32" s="4">
        <v>0</v>
      </c>
      <c r="I32" s="4">
        <f>(53.2993-47.0162)+(5.2459-4.9288)+(48.2592-41.9761)</f>
        <v>12.883300000000002</v>
      </c>
      <c r="J32" s="9">
        <f t="shared" si="0"/>
        <v>106.8044</v>
      </c>
      <c r="K32" s="4">
        <f>10.286+5.48</f>
        <v>15.766</v>
      </c>
      <c r="L32" s="9">
        <f t="shared" si="1"/>
        <v>122.57040000000001</v>
      </c>
      <c r="M32" s="1">
        <v>85.67</v>
      </c>
      <c r="N32" s="5">
        <v>1</v>
      </c>
      <c r="O32" s="4">
        <v>0</v>
      </c>
    </row>
    <row r="33" spans="1:15" ht="45">
      <c r="A33" s="4">
        <v>29</v>
      </c>
      <c r="B33" s="4" t="s">
        <v>18</v>
      </c>
      <c r="C33" s="1" t="s">
        <v>19</v>
      </c>
      <c r="D33" s="4" t="s">
        <v>18</v>
      </c>
      <c r="E33" s="5" t="s">
        <v>48</v>
      </c>
      <c r="F33" s="6">
        <f>42.1852+47.2253</f>
        <v>89.410499999999999</v>
      </c>
      <c r="G33" s="4">
        <v>4.93</v>
      </c>
      <c r="H33" s="4">
        <v>0</v>
      </c>
      <c r="I33" s="4">
        <f>(53.4724-47.2253)+(5.2459-4.9288)+(48.4323-42.1852)</f>
        <v>12.811299999999999</v>
      </c>
      <c r="J33" s="9">
        <f t="shared" si="0"/>
        <v>107.15179999999999</v>
      </c>
      <c r="K33" s="4">
        <f>10.286+5.48</f>
        <v>15.766</v>
      </c>
      <c r="L33" s="9">
        <f t="shared" si="1"/>
        <v>122.9178</v>
      </c>
      <c r="M33" s="1">
        <v>86.93</v>
      </c>
      <c r="N33" s="5">
        <v>1</v>
      </c>
      <c r="O33" s="4">
        <v>0</v>
      </c>
    </row>
    <row r="34" spans="1:15" ht="45">
      <c r="A34" s="4">
        <v>30</v>
      </c>
      <c r="B34" s="4" t="s">
        <v>18</v>
      </c>
      <c r="C34" s="1" t="s">
        <v>19</v>
      </c>
      <c r="D34" s="4" t="s">
        <v>18</v>
      </c>
      <c r="E34" s="5" t="s">
        <v>49</v>
      </c>
      <c r="F34" s="6">
        <f>41.3103+46.46</f>
        <v>87.770299999999992</v>
      </c>
      <c r="G34" s="4">
        <v>4.93</v>
      </c>
      <c r="H34" s="4">
        <v>0</v>
      </c>
      <c r="I34" s="4">
        <f>(52.64-46.46)+(5.24-4.93)+(47.4894-41.3103)</f>
        <v>12.669100000000006</v>
      </c>
      <c r="J34" s="9">
        <f t="shared" si="0"/>
        <v>105.3694</v>
      </c>
      <c r="K34" s="4">
        <f>10.397+5.49</f>
        <v>15.887</v>
      </c>
      <c r="L34" s="9">
        <f t="shared" si="1"/>
        <v>121.2564</v>
      </c>
      <c r="M34" s="1">
        <v>87.09</v>
      </c>
      <c r="N34" s="5">
        <v>1</v>
      </c>
      <c r="O34" s="4">
        <v>0</v>
      </c>
    </row>
    <row r="35" spans="1:15">
      <c r="A35" s="14" t="s">
        <v>50</v>
      </c>
      <c r="B35" s="14"/>
      <c r="C35" s="14"/>
      <c r="D35" s="14"/>
      <c r="E35" s="4">
        <v>30</v>
      </c>
      <c r="F35" s="2">
        <f>SUM(F5:F34)</f>
        <v>2473.2876999999999</v>
      </c>
      <c r="G35" s="2">
        <f t="shared" ref="G35:M35" si="2">SUM(G5:G34)</f>
        <v>86.853699999999975</v>
      </c>
      <c r="H35" s="2">
        <f t="shared" si="2"/>
        <v>6.4070999999999998</v>
      </c>
      <c r="I35" s="2">
        <f t="shared" si="2"/>
        <v>356.92890000000006</v>
      </c>
      <c r="J35" s="2">
        <f t="shared" si="2"/>
        <v>2923.4774000000002</v>
      </c>
      <c r="K35" s="2">
        <f t="shared" si="2"/>
        <v>570.3777</v>
      </c>
      <c r="L35" s="2">
        <f t="shared" si="2"/>
        <v>3493.8550999999998</v>
      </c>
      <c r="M35" s="2">
        <f t="shared" si="2"/>
        <v>2520.3700000000003</v>
      </c>
      <c r="N35" s="2">
        <f t="shared" ref="N35:O35" si="3">SUM(N5:N34)</f>
        <v>30</v>
      </c>
      <c r="O35" s="2">
        <f t="shared" si="3"/>
        <v>0</v>
      </c>
    </row>
    <row r="36" spans="1:15" ht="4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3" t="s">
        <v>51</v>
      </c>
      <c r="M36" s="7"/>
      <c r="N36" s="2">
        <v>0</v>
      </c>
      <c r="O36" s="2">
        <v>0</v>
      </c>
    </row>
    <row r="37" spans="1:15" ht="3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" t="s">
        <v>53</v>
      </c>
      <c r="M37" s="8">
        <v>2520.3700000000003</v>
      </c>
      <c r="N37" s="8">
        <v>30</v>
      </c>
      <c r="O37" s="8">
        <v>0</v>
      </c>
    </row>
    <row r="38" spans="1:15" ht="123.75" customHeight="1">
      <c r="A38" s="12" t="s">
        <v>52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</sheetData>
  <mergeCells count="20">
    <mergeCell ref="L3:L4"/>
    <mergeCell ref="M3:M4"/>
    <mergeCell ref="N3:O3"/>
    <mergeCell ref="A35:D35"/>
    <mergeCell ref="A36:K36"/>
    <mergeCell ref="A38:O38"/>
    <mergeCell ref="A37:K37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System18</dc:creator>
  <cp:lastModifiedBy>J.Alex Christopher</cp:lastModifiedBy>
  <cp:lastPrinted>2025-10-28T09:48:42Z</cp:lastPrinted>
  <dcterms:created xsi:type="dcterms:W3CDTF">2025-10-27T08:14:34Z</dcterms:created>
  <dcterms:modified xsi:type="dcterms:W3CDTF">2025-10-28T09:48:44Z</dcterms:modified>
</cp:coreProperties>
</file>