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igadegroups-my.sharepoint.com/personal/shijupj_brigadegroup_com/Documents/Desktop/"/>
    </mc:Choice>
  </mc:AlternateContent>
  <xr:revisionPtr revIDLastSave="7" documentId="8_{AF8FB035-5E27-4778-85A9-F65E24B55CAA}" xr6:coauthVersionLast="47" xr6:coauthVersionMax="47" xr10:uidLastSave="{4792C880-E2EA-4DA0-8FA7-2AF42769D1AB}"/>
  <bookViews>
    <workbookView xWindow="-120" yWindow="-120" windowWidth="29040" windowHeight="15720" tabRatio="942" xr2:uid="{00000000-000D-0000-FFFF-FFFF00000000}"/>
  </bookViews>
  <sheets>
    <sheet name="Tower-1 and 2" sheetId="16" r:id="rId1"/>
    <sheet name="Sheet1" sheetId="17" r:id="rId2"/>
  </sheets>
  <definedNames>
    <definedName name="_xlnm.Print_Area" localSheetId="0">'Tower-1 and 2'!$ED$57:$ER$190</definedName>
    <definedName name="_xlnm.Print_Titles" localSheetId="0">'Tower-1 and 2'!$58:$59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K173" i="16" l="1"/>
  <c r="EK174" i="16" s="1"/>
  <c r="EF174" i="16"/>
  <c r="EG174" i="16"/>
  <c r="EJ174" i="16"/>
  <c r="EC176" i="16"/>
  <c r="EC177" i="16"/>
  <c r="M178" i="16"/>
  <c r="DN178" i="16"/>
  <c r="DO178" i="16"/>
  <c r="DP178" i="16"/>
  <c r="DR178" i="16"/>
  <c r="DT178" i="16"/>
  <c r="DW178" i="16"/>
  <c r="DT179" i="16"/>
  <c r="DW179" i="16"/>
  <c r="DW180" i="16"/>
  <c r="DT181" i="16"/>
  <c r="DW181" i="16"/>
  <c r="EC182" i="16"/>
  <c r="EF182" i="16"/>
  <c r="EG182" i="16"/>
  <c r="M183" i="16"/>
  <c r="EC183" i="16"/>
  <c r="DW184" i="16"/>
  <c r="DT185" i="16"/>
  <c r="DW185" i="16"/>
  <c r="EC186" i="16"/>
  <c r="ED120" i="16"/>
  <c r="EF175" i="16" l="1"/>
  <c r="DS178" i="16"/>
  <c r="EF183" i="16"/>
  <c r="EN166" i="16"/>
  <c r="EI166" i="16"/>
  <c r="EL166" i="16"/>
  <c r="EM165" i="16" l="1"/>
  <c r="EM164" i="16"/>
  <c r="EM163" i="16"/>
  <c r="EM162" i="16"/>
  <c r="EM161" i="16"/>
  <c r="EM160" i="16"/>
  <c r="EM159" i="16"/>
  <c r="EM158" i="16"/>
  <c r="EM157" i="16"/>
  <c r="EM156" i="16"/>
  <c r="EM155" i="16"/>
  <c r="EM154" i="16"/>
  <c r="EM153" i="16"/>
  <c r="EM152" i="16"/>
  <c r="EM151" i="16"/>
  <c r="EM150" i="16"/>
  <c r="EM149" i="16"/>
  <c r="EM148" i="16"/>
  <c r="EM147" i="16"/>
  <c r="EM146" i="16"/>
  <c r="EM145" i="16"/>
  <c r="EM144" i="16"/>
  <c r="EM143" i="16"/>
  <c r="EM142" i="16"/>
  <c r="EM141" i="16"/>
  <c r="EM140" i="16"/>
  <c r="EM139" i="16"/>
  <c r="EM138" i="16"/>
  <c r="EM137" i="16"/>
  <c r="EM136" i="16"/>
  <c r="EM135" i="16"/>
  <c r="EM134" i="16"/>
  <c r="EM133" i="16"/>
  <c r="EM132" i="16"/>
  <c r="EM131" i="16"/>
  <c r="EM130" i="16"/>
  <c r="EM129" i="16"/>
  <c r="EM128" i="16"/>
  <c r="EM127" i="16"/>
  <c r="EM126" i="16"/>
  <c r="EM125" i="16"/>
  <c r="EM124" i="16"/>
  <c r="EM123" i="16"/>
  <c r="EM122" i="16"/>
  <c r="EM121" i="16"/>
  <c r="ED121" i="16"/>
  <c r="ED122" i="16" s="1"/>
  <c r="ED123" i="16" s="1"/>
  <c r="ED124" i="16" s="1"/>
  <c r="ED125" i="16" s="1"/>
  <c r="ED126" i="16" s="1"/>
  <c r="ED127" i="16" s="1"/>
  <c r="ED128" i="16" s="1"/>
  <c r="ED129" i="16" s="1"/>
  <c r="ED130" i="16" s="1"/>
  <c r="ED131" i="16" s="1"/>
  <c r="ED132" i="16" s="1"/>
  <c r="ED133" i="16" s="1"/>
  <c r="ED134" i="16" s="1"/>
  <c r="ED135" i="16" s="1"/>
  <c r="ED136" i="16" s="1"/>
  <c r="ED137" i="16" s="1"/>
  <c r="ED138" i="16" s="1"/>
  <c r="ED139" i="16" s="1"/>
  <c r="ED140" i="16" s="1"/>
  <c r="ED141" i="16" s="1"/>
  <c r="ED142" i="16" s="1"/>
  <c r="ED143" i="16" s="1"/>
  <c r="ED144" i="16" s="1"/>
  <c r="ED145" i="16" s="1"/>
  <c r="ED146" i="16" s="1"/>
  <c r="ED147" i="16" s="1"/>
  <c r="ED148" i="16" s="1"/>
  <c r="ED149" i="16" s="1"/>
  <c r="ED150" i="16" s="1"/>
  <c r="ED151" i="16" s="1"/>
  <c r="ED152" i="16" s="1"/>
  <c r="ED153" i="16" s="1"/>
  <c r="ED154" i="16" s="1"/>
  <c r="ED155" i="16" s="1"/>
  <c r="ED156" i="16" s="1"/>
  <c r="ED157" i="16" s="1"/>
  <c r="ED158" i="16" s="1"/>
  <c r="ED159" i="16" s="1"/>
  <c r="ED160" i="16" s="1"/>
  <c r="ED161" i="16" s="1"/>
  <c r="ED162" i="16" s="1"/>
  <c r="ED163" i="16" s="1"/>
  <c r="ED164" i="16" s="1"/>
  <c r="ED165" i="16" s="1"/>
  <c r="EM120" i="16"/>
  <c r="EM61" i="16" l="1"/>
  <c r="EM62" i="16"/>
  <c r="EM63" i="16"/>
  <c r="EM64" i="16"/>
  <c r="EM65" i="16"/>
  <c r="EM66" i="16"/>
  <c r="EM67" i="16"/>
  <c r="EM68" i="16"/>
  <c r="EM69" i="16"/>
  <c r="EM70" i="16"/>
  <c r="EM71" i="16"/>
  <c r="EM72" i="16"/>
  <c r="EM73" i="16"/>
  <c r="EM74" i="16"/>
  <c r="EM75" i="16"/>
  <c r="EM76" i="16"/>
  <c r="EM77" i="16"/>
  <c r="EM78" i="16"/>
  <c r="EM79" i="16"/>
  <c r="EM80" i="16"/>
  <c r="EM81" i="16"/>
  <c r="EM82" i="16"/>
  <c r="EM83" i="16"/>
  <c r="EM84" i="16"/>
  <c r="EM85" i="16"/>
  <c r="EM86" i="16"/>
  <c r="EM87" i="16"/>
  <c r="EM88" i="16"/>
  <c r="EM89" i="16"/>
  <c r="EM90" i="16"/>
  <c r="EM91" i="16"/>
  <c r="EM92" i="16"/>
  <c r="EM93" i="16"/>
  <c r="EM94" i="16"/>
  <c r="EM95" i="16"/>
  <c r="EM96" i="16"/>
  <c r="EM97" i="16"/>
  <c r="EM98" i="16"/>
  <c r="EM99" i="16"/>
  <c r="EM100" i="16"/>
  <c r="EM101" i="16"/>
  <c r="EM102" i="16"/>
  <c r="EM103" i="16"/>
  <c r="EM104" i="16"/>
  <c r="EM105" i="16"/>
  <c r="EM106" i="16"/>
  <c r="EM107" i="16"/>
  <c r="EM108" i="16"/>
  <c r="EM109" i="16"/>
  <c r="EM110" i="16"/>
  <c r="EM111" i="16"/>
  <c r="EM112" i="16"/>
  <c r="EM113" i="16"/>
  <c r="EM114" i="16"/>
  <c r="EM115" i="16"/>
  <c r="EM116" i="16"/>
  <c r="EM117" i="16"/>
  <c r="EM118" i="16"/>
  <c r="EM60" i="16"/>
  <c r="ER61" i="16" l="1"/>
  <c r="EM166" i="16"/>
  <c r="EF176" i="16" l="1"/>
  <c r="EF184" i="16"/>
  <c r="ED54" i="16"/>
  <c r="EC278" i="16"/>
  <c r="EC277" i="16"/>
  <c r="EC272" i="16"/>
  <c r="EC271" i="16"/>
  <c r="EC266" i="16"/>
  <c r="EC265" i="16"/>
  <c r="EC260" i="16"/>
  <c r="EC259" i="16"/>
  <c r="EC254" i="16"/>
  <c r="EC253" i="16"/>
  <c r="EC248" i="16"/>
  <c r="EC247" i="16"/>
  <c r="EC242" i="16"/>
  <c r="EC241" i="16"/>
  <c r="EC236" i="16"/>
  <c r="EC235" i="16"/>
  <c r="EC230" i="16"/>
  <c r="EC229" i="16"/>
  <c r="EC224" i="16"/>
  <c r="EC223" i="16"/>
  <c r="EC218" i="16"/>
  <c r="EC217" i="16"/>
  <c r="EC212" i="16"/>
  <c r="EC211" i="16"/>
  <c r="EC206" i="16"/>
  <c r="EC205" i="16"/>
  <c r="EC200" i="16"/>
  <c r="EC199" i="16"/>
  <c r="EC193" i="16"/>
  <c r="EC187" i="16"/>
  <c r="EC117" i="16"/>
  <c r="EC116" i="16"/>
  <c r="EC112" i="16"/>
  <c r="EC111" i="16"/>
  <c r="EC107" i="16"/>
  <c r="EC106" i="16"/>
  <c r="EC101" i="16"/>
  <c r="EC100" i="16"/>
  <c r="EC96" i="16"/>
  <c r="EC95" i="16"/>
  <c r="EC76" i="16"/>
  <c r="EC75" i="16"/>
  <c r="EC71" i="16"/>
  <c r="EC70" i="16"/>
  <c r="EC68" i="16"/>
  <c r="EC67" i="16"/>
  <c r="EC63" i="16"/>
  <c r="EC62" i="16"/>
  <c r="EI184" i="16" l="1"/>
  <c r="EI185" i="16"/>
  <c r="EL177" i="16"/>
  <c r="EI176" i="16"/>
  <c r="EL176" i="16"/>
  <c r="EQ135" i="16" s="1"/>
  <c r="EM176" i="16"/>
  <c r="EI177" i="16"/>
  <c r="EP164" i="16" s="1"/>
  <c r="ER159" i="16"/>
  <c r="EP137" i="16"/>
  <c r="ER114" i="16"/>
  <c r="ER72" i="16"/>
  <c r="EQ121" i="16"/>
  <c r="EQ143" i="16"/>
  <c r="EQ154" i="16"/>
  <c r="EQ149" i="16"/>
  <c r="EQ120" i="16"/>
  <c r="EQ150" i="16"/>
  <c r="EQ145" i="16"/>
  <c r="EQ130" i="16"/>
  <c r="EQ123" i="16"/>
  <c r="EQ160" i="16"/>
  <c r="EQ161" i="16"/>
  <c r="EQ139" i="16"/>
  <c r="EQ75" i="16"/>
  <c r="EQ94" i="16"/>
  <c r="EQ70" i="16"/>
  <c r="EQ83" i="16"/>
  <c r="EQ95" i="16"/>
  <c r="EQ69" i="16"/>
  <c r="EQ86" i="16"/>
  <c r="EQ115" i="16"/>
  <c r="EQ105" i="16"/>
  <c r="EQ114" i="16"/>
  <c r="EQ74" i="16"/>
  <c r="EQ101" i="16"/>
  <c r="EQ100" i="16"/>
  <c r="EQ87" i="16"/>
  <c r="EQ68" i="16"/>
  <c r="EP130" i="16"/>
  <c r="EP152" i="16"/>
  <c r="EP148" i="16"/>
  <c r="EP131" i="16"/>
  <c r="EP120" i="16"/>
  <c r="EP135" i="16"/>
  <c r="DS66" i="16"/>
  <c r="DS65" i="16"/>
  <c r="DS64" i="16"/>
  <c r="EQ137" i="16" l="1"/>
  <c r="EQ138" i="16"/>
  <c r="EQ77" i="16"/>
  <c r="EQ112" i="16"/>
  <c r="EQ140" i="16"/>
  <c r="EQ76" i="16"/>
  <c r="EQ65" i="16"/>
  <c r="EQ155" i="16"/>
  <c r="EQ159" i="16"/>
  <c r="EQ128" i="16"/>
  <c r="EQ60" i="16"/>
  <c r="EQ104" i="16"/>
  <c r="EQ81" i="16"/>
  <c r="EQ79" i="16"/>
  <c r="EQ62" i="16"/>
  <c r="EQ125" i="16"/>
  <c r="EQ72" i="16"/>
  <c r="EQ124" i="16"/>
  <c r="EQ103" i="16"/>
  <c r="EQ163" i="16"/>
  <c r="EQ162" i="16"/>
  <c r="EQ82" i="16"/>
  <c r="EQ88" i="16"/>
  <c r="EQ122" i="16"/>
  <c r="EQ71" i="16"/>
  <c r="EQ96" i="16"/>
  <c r="EQ73" i="16"/>
  <c r="EQ113" i="16"/>
  <c r="EQ144" i="16"/>
  <c r="EP159" i="16"/>
  <c r="EP149" i="16"/>
  <c r="EP163" i="16"/>
  <c r="EQ78" i="16"/>
  <c r="EQ111" i="16"/>
  <c r="EQ157" i="16"/>
  <c r="EP156" i="16"/>
  <c r="EQ67" i="16"/>
  <c r="EQ134" i="16"/>
  <c r="EQ156" i="16"/>
  <c r="EP150" i="16"/>
  <c r="EQ102" i="16"/>
  <c r="EQ164" i="16"/>
  <c r="EQ151" i="16"/>
  <c r="EP144" i="16"/>
  <c r="EQ98" i="16"/>
  <c r="EQ91" i="16"/>
  <c r="EQ107" i="16"/>
  <c r="EP146" i="16"/>
  <c r="EP157" i="16"/>
  <c r="EP155" i="16"/>
  <c r="EQ89" i="16"/>
  <c r="EQ109" i="16"/>
  <c r="EQ133" i="16"/>
  <c r="EQ147" i="16"/>
  <c r="EP133" i="16"/>
  <c r="EQ117" i="16"/>
  <c r="EQ93" i="16"/>
  <c r="EQ106" i="16"/>
  <c r="EQ131" i="16"/>
  <c r="EP154" i="16"/>
  <c r="EQ90" i="16"/>
  <c r="EQ99" i="16"/>
  <c r="EQ153" i="16"/>
  <c r="EQ146" i="16"/>
  <c r="EP128" i="16"/>
  <c r="EQ85" i="16"/>
  <c r="EQ108" i="16"/>
  <c r="EQ165" i="16"/>
  <c r="EQ152" i="16"/>
  <c r="EP147" i="16"/>
  <c r="EP121" i="16"/>
  <c r="EQ141" i="16"/>
  <c r="EP140" i="16"/>
  <c r="EQ80" i="16"/>
  <c r="EQ136" i="16"/>
  <c r="EP162" i="16"/>
  <c r="EQ92" i="16"/>
  <c r="EQ158" i="16"/>
  <c r="EQ64" i="16"/>
  <c r="EQ63" i="16"/>
  <c r="EQ132" i="16"/>
  <c r="EQ148" i="16"/>
  <c r="EQ61" i="16"/>
  <c r="EQ110" i="16"/>
  <c r="EQ129" i="16"/>
  <c r="EQ84" i="16"/>
  <c r="EQ118" i="16"/>
  <c r="EQ127" i="16"/>
  <c r="EP138" i="16"/>
  <c r="EP139" i="16"/>
  <c r="EQ97" i="16"/>
  <c r="EP126" i="16"/>
  <c r="EQ66" i="16"/>
  <c r="EQ116" i="16"/>
  <c r="EQ142" i="16"/>
  <c r="EQ126" i="16"/>
  <c r="EP153" i="16"/>
  <c r="EP165" i="16"/>
  <c r="EP127" i="16"/>
  <c r="EP132" i="16"/>
  <c r="EP125" i="16"/>
  <c r="EP123" i="16"/>
  <c r="ER143" i="16"/>
  <c r="ER112" i="16"/>
  <c r="ER102" i="16"/>
  <c r="ER86" i="16"/>
  <c r="ER157" i="16"/>
  <c r="ER63" i="16"/>
  <c r="ER152" i="16"/>
  <c r="ER136" i="16"/>
  <c r="ER94" i="16"/>
  <c r="ER90" i="16"/>
  <c r="ER104" i="16"/>
  <c r="ER108" i="16"/>
  <c r="ER65" i="16"/>
  <c r="ER144" i="16"/>
  <c r="ER100" i="16"/>
  <c r="ER125" i="16"/>
  <c r="ER130" i="16"/>
  <c r="ER66" i="16"/>
  <c r="ER129" i="16"/>
  <c r="ER149" i="16"/>
  <c r="ER153" i="16"/>
  <c r="ER93" i="16"/>
  <c r="ER122" i="16"/>
  <c r="ER118" i="16"/>
  <c r="ER155" i="16"/>
  <c r="ER77" i="16"/>
  <c r="ER124" i="16"/>
  <c r="ER145" i="16"/>
  <c r="ER79" i="16"/>
  <c r="ER150" i="16"/>
  <c r="ER146" i="16"/>
  <c r="ER148" i="16"/>
  <c r="ER71" i="16"/>
  <c r="ER89" i="16"/>
  <c r="ER82" i="16"/>
  <c r="ER91" i="16"/>
  <c r="ER156" i="16"/>
  <c r="ER110" i="16"/>
  <c r="ER87" i="16"/>
  <c r="ER154" i="16"/>
  <c r="ER165" i="16"/>
  <c r="ER75" i="16"/>
  <c r="ER162" i="16"/>
  <c r="EP158" i="16"/>
  <c r="EP134" i="16"/>
  <c r="ER111" i="16"/>
  <c r="ER115" i="16"/>
  <c r="ER62" i="16"/>
  <c r="ER164" i="16"/>
  <c r="ER126" i="16"/>
  <c r="ER99" i="16"/>
  <c r="ER133" i="16"/>
  <c r="ER121" i="16"/>
  <c r="ER64" i="16"/>
  <c r="ER68" i="16"/>
  <c r="ER107" i="16"/>
  <c r="ER127" i="16"/>
  <c r="ER120" i="16"/>
  <c r="ER88" i="16"/>
  <c r="ER84" i="16"/>
  <c r="ER147" i="16"/>
  <c r="ER96" i="16"/>
  <c r="ER92" i="16"/>
  <c r="ER134" i="16"/>
  <c r="ER67" i="16"/>
  <c r="ER137" i="16"/>
  <c r="ER73" i="16"/>
  <c r="ER158" i="16"/>
  <c r="ER69" i="16"/>
  <c r="ER160" i="16"/>
  <c r="ER97" i="16"/>
  <c r="ER81" i="16"/>
  <c r="ER131" i="16"/>
  <c r="ER85" i="16"/>
  <c r="ER138" i="16"/>
  <c r="ER113" i="16"/>
  <c r="ER123" i="16"/>
  <c r="ER140" i="16"/>
  <c r="ER105" i="16"/>
  <c r="ER141" i="16"/>
  <c r="ER117" i="16"/>
  <c r="ER139" i="16"/>
  <c r="ER76" i="16"/>
  <c r="ER98" i="16"/>
  <c r="ER78" i="16"/>
  <c r="ER151" i="16"/>
  <c r="ER132" i="16"/>
  <c r="ER80" i="16"/>
  <c r="ER109" i="16"/>
  <c r="ER161" i="16"/>
  <c r="ER101" i="16"/>
  <c r="ER106" i="16"/>
  <c r="ER128" i="16"/>
  <c r="ER163" i="16"/>
  <c r="ER60" i="16"/>
  <c r="ER83" i="16"/>
  <c r="ER95" i="16"/>
  <c r="ER70" i="16"/>
  <c r="ER135" i="16"/>
  <c r="EP160" i="16"/>
  <c r="EP142" i="16"/>
  <c r="ER74" i="16"/>
  <c r="ER103" i="16"/>
  <c r="ER116" i="16"/>
  <c r="ER142" i="16"/>
  <c r="EP145" i="16"/>
  <c r="EP129" i="16"/>
  <c r="EP136" i="16"/>
  <c r="EP143" i="16"/>
  <c r="EP151" i="16"/>
  <c r="EP161" i="16"/>
  <c r="EP141" i="16"/>
  <c r="EP122" i="16"/>
  <c r="EO123" i="16"/>
  <c r="EO163" i="16"/>
  <c r="EO149" i="16"/>
  <c r="EO164" i="16"/>
  <c r="EO153" i="16"/>
  <c r="EO150" i="16"/>
  <c r="EO160" i="16"/>
  <c r="EO147" i="16"/>
  <c r="EO127" i="16"/>
  <c r="EO129" i="16"/>
  <c r="EO145" i="16"/>
  <c r="EO146" i="16"/>
  <c r="EO141" i="16"/>
  <c r="EO135" i="16"/>
  <c r="EO122" i="16"/>
  <c r="EO133" i="16"/>
  <c r="EO154" i="16"/>
  <c r="EO156" i="16"/>
  <c r="EO128" i="16"/>
  <c r="EO165" i="16"/>
  <c r="EO144" i="16"/>
  <c r="EO148" i="16"/>
  <c r="EO120" i="16"/>
  <c r="EO151" i="16"/>
  <c r="EO155" i="16"/>
  <c r="EO158" i="16"/>
  <c r="EO157" i="16"/>
  <c r="EO126" i="16"/>
  <c r="EO143" i="16"/>
  <c r="EO124" i="16"/>
  <c r="EO162" i="16"/>
  <c r="EO136" i="16"/>
  <c r="EO139" i="16"/>
  <c r="EO159" i="16"/>
  <c r="EO138" i="16"/>
  <c r="EO125" i="16"/>
  <c r="EO130" i="16"/>
  <c r="EO132" i="16"/>
  <c r="EO137" i="16"/>
  <c r="EO140" i="16"/>
  <c r="EO131" i="16"/>
  <c r="EO134" i="16"/>
  <c r="EO152" i="16"/>
  <c r="EO161" i="16"/>
  <c r="EO142" i="16"/>
  <c r="EO121" i="16"/>
  <c r="EO62" i="16"/>
  <c r="EO72" i="16"/>
  <c r="EO60" i="16"/>
  <c r="EO84" i="16"/>
  <c r="EO95" i="16"/>
  <c r="EO94" i="16"/>
  <c r="EO103" i="16"/>
  <c r="EO118" i="16"/>
  <c r="EO117" i="16"/>
  <c r="EO102" i="16"/>
  <c r="EO69" i="16"/>
  <c r="EO92" i="16"/>
  <c r="EO99" i="16"/>
  <c r="EO114" i="16"/>
  <c r="EO68" i="16"/>
  <c r="EO85" i="16"/>
  <c r="EO90" i="16"/>
  <c r="EO91" i="16"/>
  <c r="EO83" i="16"/>
  <c r="EO66" i="16"/>
  <c r="EO112" i="16"/>
  <c r="EO76" i="16"/>
  <c r="EO110" i="16"/>
  <c r="EO88" i="16"/>
  <c r="EO82" i="16"/>
  <c r="EO108" i="16"/>
  <c r="EO80" i="16"/>
  <c r="EO100" i="16"/>
  <c r="EO87" i="16"/>
  <c r="EO97" i="16"/>
  <c r="EO70" i="16"/>
  <c r="EO71" i="16"/>
  <c r="EO116" i="16"/>
  <c r="EO81" i="16"/>
  <c r="EO109" i="16"/>
  <c r="EO74" i="16"/>
  <c r="EO111" i="16"/>
  <c r="EO63" i="16"/>
  <c r="EO65" i="16"/>
  <c r="EO106" i="16"/>
  <c r="EO73" i="16"/>
  <c r="EO93" i="16"/>
  <c r="EO86" i="16"/>
  <c r="EO89" i="16"/>
  <c r="EO107" i="16"/>
  <c r="EO64" i="16"/>
  <c r="EO105" i="16"/>
  <c r="EO77" i="16"/>
  <c r="EO75" i="16"/>
  <c r="EO96" i="16"/>
  <c r="EO67" i="16"/>
  <c r="EO115" i="16"/>
  <c r="EO113" i="16"/>
  <c r="EO61" i="16"/>
  <c r="EO79" i="16"/>
  <c r="EO78" i="16"/>
  <c r="EO101" i="16"/>
  <c r="EO104" i="16"/>
  <c r="EO98" i="16"/>
  <c r="EP124" i="16"/>
  <c r="EP112" i="16"/>
  <c r="EP78" i="16"/>
  <c r="EP88" i="16"/>
  <c r="EP64" i="16"/>
  <c r="EP69" i="16"/>
  <c r="EP111" i="16"/>
  <c r="EP68" i="16"/>
  <c r="EP87" i="16"/>
  <c r="EP63" i="16"/>
  <c r="EP105" i="16"/>
  <c r="EP97" i="16"/>
  <c r="EP104" i="16"/>
  <c r="EP110" i="16"/>
  <c r="EP101" i="16"/>
  <c r="EP77" i="16"/>
  <c r="EP107" i="16"/>
  <c r="EP81" i="16"/>
  <c r="EP103" i="16"/>
  <c r="EP100" i="16"/>
  <c r="EP116" i="16"/>
  <c r="EP76" i="16"/>
  <c r="EP115" i="16"/>
  <c r="EP72" i="16"/>
  <c r="EP67" i="16"/>
  <c r="EP94" i="16"/>
  <c r="EP66" i="16"/>
  <c r="EP85" i="16"/>
  <c r="EP113" i="16"/>
  <c r="EP102" i="16"/>
  <c r="EP96" i="16"/>
  <c r="EP118" i="16"/>
  <c r="EP86" i="16"/>
  <c r="EP83" i="16"/>
  <c r="EP89" i="16"/>
  <c r="EP73" i="16"/>
  <c r="EP91" i="16"/>
  <c r="EP114" i="16"/>
  <c r="EP92" i="16"/>
  <c r="EP82" i="16"/>
  <c r="EP80" i="16"/>
  <c r="EP65" i="16"/>
  <c r="EP84" i="16"/>
  <c r="EP108" i="16"/>
  <c r="EP98" i="16"/>
  <c r="EP70" i="16"/>
  <c r="EP109" i="16"/>
  <c r="EP93" i="16"/>
  <c r="EP79" i="16"/>
  <c r="EP74" i="16"/>
  <c r="EP95" i="16"/>
  <c r="EP71" i="16"/>
  <c r="EP117" i="16"/>
  <c r="EP90" i="16"/>
  <c r="EP106" i="16"/>
  <c r="EP99" i="16"/>
  <c r="EP75" i="16"/>
  <c r="ED61" i="16"/>
  <c r="ED62" i="16" s="1"/>
  <c r="ED63" i="16" s="1"/>
  <c r="ED64" i="16" s="1"/>
  <c r="ED65" i="16" s="1"/>
  <c r="ED66" i="16" s="1"/>
  <c r="ED67" i="16" s="1"/>
  <c r="ED68" i="16" s="1"/>
  <c r="ED69" i="16" s="1"/>
  <c r="ED70" i="16" s="1"/>
  <c r="ED71" i="16" s="1"/>
  <c r="ED72" i="16" s="1"/>
  <c r="ED73" i="16" s="1"/>
  <c r="ED74" i="16" s="1"/>
  <c r="ED75" i="16" s="1"/>
  <c r="ED76" i="16" s="1"/>
  <c r="ED77" i="16" s="1"/>
  <c r="ED78" i="16" s="1"/>
  <c r="ED79" i="16" s="1"/>
  <c r="ED80" i="16" s="1"/>
  <c r="ED81" i="16" s="1"/>
  <c r="ED82" i="16" s="1"/>
  <c r="ED83" i="16" s="1"/>
  <c r="ED84" i="16" s="1"/>
  <c r="ED85" i="16" s="1"/>
  <c r="ED86" i="16" s="1"/>
  <c r="ED87" i="16" s="1"/>
  <c r="ED88" i="16" s="1"/>
  <c r="ED89" i="16" s="1"/>
  <c r="ED90" i="16" s="1"/>
  <c r="ED91" i="16" s="1"/>
  <c r="ED92" i="16" s="1"/>
  <c r="ED93" i="16" s="1"/>
  <c r="ED94" i="16" s="1"/>
  <c r="ED95" i="16" s="1"/>
  <c r="ED96" i="16" s="1"/>
  <c r="ED97" i="16" s="1"/>
  <c r="ED98" i="16" s="1"/>
  <c r="ED99" i="16" s="1"/>
  <c r="ED100" i="16" s="1"/>
  <c r="ED101" i="16" s="1"/>
  <c r="ED102" i="16" s="1"/>
  <c r="ED103" i="16" s="1"/>
  <c r="ED104" i="16" s="1"/>
  <c r="ED105" i="16" s="1"/>
  <c r="ED106" i="16" s="1"/>
  <c r="ED107" i="16" s="1"/>
  <c r="ED108" i="16" s="1"/>
  <c r="ED109" i="16" s="1"/>
  <c r="ED110" i="16" s="1"/>
  <c r="ED111" i="16" s="1"/>
  <c r="ED112" i="16" s="1"/>
  <c r="ED113" i="16" s="1"/>
  <c r="ED114" i="16" s="1"/>
  <c r="ED115" i="16" s="1"/>
  <c r="ED116" i="16" s="1"/>
  <c r="ED117" i="16" s="1"/>
  <c r="ED118" i="16" s="1"/>
  <c r="DS279" i="16"/>
  <c r="DS273" i="16"/>
  <c r="DS267" i="16"/>
  <c r="DS261" i="16"/>
  <c r="DS255" i="16"/>
  <c r="DS249" i="16"/>
  <c r="DS243" i="16"/>
  <c r="DS237" i="16"/>
  <c r="DS231" i="16"/>
  <c r="DS219" i="16"/>
  <c r="DS207" i="16"/>
  <c r="EQ166" i="16" l="1"/>
  <c r="ER166" i="16"/>
  <c r="EP166" i="16"/>
  <c r="EO166" i="16"/>
  <c r="DN225" i="16"/>
  <c r="DS225" i="16" s="1"/>
  <c r="DN213" i="16"/>
  <c r="DS213" i="16" s="1"/>
  <c r="DN200" i="16"/>
  <c r="DS200" i="16" s="1"/>
  <c r="DR188" i="16"/>
  <c r="DP188" i="16"/>
  <c r="ER169" i="16" l="1"/>
  <c r="EP169" i="16"/>
  <c r="DO188" i="16"/>
  <c r="DS118" i="16"/>
  <c r="DS97" i="16"/>
  <c r="DN108" i="16"/>
  <c r="DS108" i="16" s="1"/>
  <c r="DN113" i="16"/>
  <c r="DS113" i="16" s="1"/>
  <c r="DN103" i="16"/>
  <c r="DS103" i="16" s="1"/>
  <c r="DN77" i="16"/>
  <c r="DS77" i="16" s="1"/>
  <c r="DN72" i="16"/>
  <c r="DS72" i="16" s="1"/>
  <c r="DS188" i="16" l="1"/>
  <c r="DU291" i="16"/>
  <c r="DV291" i="16" s="1"/>
  <c r="Y288" i="16"/>
  <c r="Y284" i="16"/>
  <c r="DW280" i="16"/>
  <c r="DT280" i="16"/>
  <c r="DW279" i="16"/>
  <c r="DW276" i="16"/>
  <c r="DW275" i="16"/>
  <c r="DW274" i="16"/>
  <c r="DT274" i="16"/>
  <c r="DW273" i="16"/>
  <c r="DW270" i="16"/>
  <c r="DW269" i="16"/>
  <c r="DW268" i="16"/>
  <c r="DT268" i="16"/>
  <c r="DW267" i="16"/>
  <c r="Y267" i="16"/>
  <c r="DW264" i="16"/>
  <c r="DW263" i="16"/>
  <c r="DT263" i="16"/>
  <c r="DW262" i="16"/>
  <c r="DT262" i="16"/>
  <c r="DW261" i="16"/>
  <c r="DW258" i="16"/>
  <c r="DW257" i="16"/>
  <c r="DW256" i="16"/>
  <c r="DT256" i="16"/>
  <c r="DW255" i="16"/>
  <c r="DW252" i="16"/>
  <c r="DW251" i="16"/>
  <c r="DW250" i="16"/>
  <c r="DT250" i="16"/>
  <c r="DW249" i="16"/>
  <c r="DW246" i="16"/>
  <c r="DW245" i="16"/>
  <c r="DT245" i="16"/>
  <c r="DW244" i="16"/>
  <c r="DT244" i="16"/>
  <c r="DW243" i="16"/>
  <c r="DW240" i="16"/>
  <c r="DW239" i="16"/>
  <c r="DW238" i="16"/>
  <c r="DT238" i="16"/>
  <c r="DW237" i="16"/>
  <c r="DW234" i="16"/>
  <c r="DW233" i="16"/>
  <c r="DW232" i="16"/>
  <c r="DW231" i="16"/>
  <c r="DW228" i="16"/>
  <c r="DW227" i="16"/>
  <c r="DW226" i="16"/>
  <c r="DT226" i="16"/>
  <c r="DW225" i="16"/>
  <c r="DW222" i="16"/>
  <c r="DW221" i="16"/>
  <c r="DW220" i="16"/>
  <c r="DW219" i="16"/>
  <c r="DW216" i="16"/>
  <c r="DW215" i="16"/>
  <c r="DW214" i="16"/>
  <c r="DT214" i="16"/>
  <c r="DW213" i="16"/>
  <c r="DW210" i="16"/>
  <c r="DW209" i="16"/>
  <c r="DW208" i="16"/>
  <c r="DW207" i="16"/>
  <c r="DW204" i="16"/>
  <c r="DW203" i="16"/>
  <c r="DW202" i="16"/>
  <c r="DT202" i="16"/>
  <c r="DW201" i="16"/>
  <c r="DW198" i="16"/>
  <c r="DW192" i="16"/>
  <c r="DW191" i="16"/>
  <c r="DW190" i="16"/>
  <c r="DT190" i="16"/>
  <c r="DW188" i="16"/>
  <c r="DW118" i="16"/>
  <c r="DT118" i="16"/>
  <c r="DW115" i="16"/>
  <c r="DW114" i="16"/>
  <c r="DW113" i="16"/>
  <c r="DW110" i="16"/>
  <c r="DW109" i="16"/>
  <c r="DW108" i="16"/>
  <c r="DT108" i="16"/>
  <c r="M108" i="16"/>
  <c r="DW105" i="16"/>
  <c r="DW104" i="16"/>
  <c r="DW103" i="16"/>
  <c r="M100" i="16"/>
  <c r="DW99" i="16"/>
  <c r="DT99" i="16"/>
  <c r="DW98" i="16"/>
  <c r="DT98" i="16"/>
  <c r="DW97" i="16"/>
  <c r="DT97" i="16"/>
  <c r="DW94" i="16"/>
  <c r="DW78" i="16"/>
  <c r="DT78" i="16"/>
  <c r="DW77" i="16"/>
  <c r="DG77" i="16"/>
  <c r="DN38" i="16" s="1"/>
  <c r="M77" i="16"/>
  <c r="M76" i="16"/>
  <c r="M75" i="16"/>
  <c r="DW74" i="16"/>
  <c r="DN12" i="16"/>
  <c r="DW73" i="16"/>
  <c r="DT73" i="16"/>
  <c r="DW72" i="16"/>
  <c r="DT72" i="16"/>
  <c r="DD72" i="16"/>
  <c r="DN37" i="16" s="1"/>
  <c r="DA72" i="16"/>
  <c r="DN36" i="16" s="1"/>
  <c r="CX72" i="16"/>
  <c r="DN35" i="16" s="1"/>
  <c r="CU72" i="16"/>
  <c r="DN34" i="16" s="1"/>
  <c r="CR72" i="16"/>
  <c r="DN33" i="16" s="1"/>
  <c r="CO72" i="16"/>
  <c r="DN32" i="16" s="1"/>
  <c r="CL72" i="16"/>
  <c r="DN31" i="16" s="1"/>
  <c r="CI72" i="16"/>
  <c r="DN30" i="16" s="1"/>
  <c r="CF72" i="16"/>
  <c r="DN29" i="16" s="1"/>
  <c r="CC72" i="16"/>
  <c r="DN28" i="16" s="1"/>
  <c r="BZ72" i="16"/>
  <c r="DN27" i="16" s="1"/>
  <c r="BW72" i="16"/>
  <c r="DN26" i="16" s="1"/>
  <c r="BT72" i="16"/>
  <c r="DN25" i="16" s="1"/>
  <c r="BQ72" i="16"/>
  <c r="DN24" i="16" s="1"/>
  <c r="BN72" i="16"/>
  <c r="DN23" i="16" s="1"/>
  <c r="BK72" i="16"/>
  <c r="DN22" i="16" s="1"/>
  <c r="BH72" i="16"/>
  <c r="DN21" i="16" s="1"/>
  <c r="BE72" i="16"/>
  <c r="DN20" i="16" s="1"/>
  <c r="BB72" i="16"/>
  <c r="DN19" i="16" s="1"/>
  <c r="AY72" i="16"/>
  <c r="DN18" i="16" s="1"/>
  <c r="AV72" i="16"/>
  <c r="DN17" i="16" s="1"/>
  <c r="AS72" i="16"/>
  <c r="DN16" i="16" s="1"/>
  <c r="AP72" i="16"/>
  <c r="DN15" i="16" s="1"/>
  <c r="AM72" i="16"/>
  <c r="AJ72" i="16"/>
  <c r="DN13" i="16" s="1"/>
  <c r="BE71" i="16"/>
  <c r="DT20" i="16" s="1"/>
  <c r="AS71" i="16"/>
  <c r="DT16" i="16" s="1"/>
  <c r="M70" i="16"/>
  <c r="DW69" i="16"/>
  <c r="DT69" i="16"/>
  <c r="AD69" i="16"/>
  <c r="DN11" i="16" s="1"/>
  <c r="M69" i="16"/>
  <c r="DT276" i="16"/>
  <c r="DT270" i="16"/>
  <c r="DT264" i="16"/>
  <c r="DT258" i="16"/>
  <c r="DT252" i="16"/>
  <c r="DT246" i="16"/>
  <c r="DT240" i="16"/>
  <c r="DT234" i="16"/>
  <c r="DT228" i="16"/>
  <c r="DT222" i="16"/>
  <c r="DT216" i="16"/>
  <c r="DT210" i="16"/>
  <c r="DT204" i="16"/>
  <c r="DT198" i="16"/>
  <c r="DT192" i="16"/>
  <c r="DT115" i="16"/>
  <c r="DT110" i="16"/>
  <c r="DT105" i="16"/>
  <c r="DT94" i="16"/>
  <c r="DT74" i="16"/>
  <c r="DT66" i="16"/>
  <c r="DD67" i="16"/>
  <c r="DT275" i="16" s="1"/>
  <c r="DA67" i="16"/>
  <c r="DT269" i="16" s="1"/>
  <c r="CU67" i="16"/>
  <c r="DT257" i="16" s="1"/>
  <c r="CR67" i="16"/>
  <c r="DT251" i="16" s="1"/>
  <c r="CL67" i="16"/>
  <c r="DT239" i="16" s="1"/>
  <c r="CI67" i="16"/>
  <c r="DT233" i="16" s="1"/>
  <c r="CF67" i="16"/>
  <c r="DT227" i="16" s="1"/>
  <c r="CC67" i="16"/>
  <c r="DT221" i="16" s="1"/>
  <c r="BZ67" i="16"/>
  <c r="DT215" i="16" s="1"/>
  <c r="BW67" i="16"/>
  <c r="DT209" i="16" s="1"/>
  <c r="BT67" i="16"/>
  <c r="DT203" i="16" s="1"/>
  <c r="BQ67" i="16"/>
  <c r="BN67" i="16"/>
  <c r="DT191" i="16" s="1"/>
  <c r="BK67" i="16"/>
  <c r="DT184" i="16" s="1"/>
  <c r="BH67" i="16"/>
  <c r="DT180" i="16" s="1"/>
  <c r="BB67" i="16"/>
  <c r="DT114" i="16" s="1"/>
  <c r="AY67" i="16"/>
  <c r="AV67" i="16"/>
  <c r="DT104" i="16" s="1"/>
  <c r="AP67" i="16"/>
  <c r="AM67" i="16"/>
  <c r="AG67" i="16"/>
  <c r="DT65" i="16" s="1"/>
  <c r="DW66" i="16"/>
  <c r="DG66" i="16"/>
  <c r="DO38" i="16" s="1"/>
  <c r="DW65" i="16"/>
  <c r="CI65" i="16"/>
  <c r="DT232" i="16" s="1"/>
  <c r="CC65" i="16"/>
  <c r="DT220" i="16" s="1"/>
  <c r="BW65" i="16"/>
  <c r="DT208" i="16" s="1"/>
  <c r="BQ65" i="16"/>
  <c r="BK65" i="16"/>
  <c r="AD65" i="16"/>
  <c r="DT64" i="16"/>
  <c r="DX64" i="16" s="1"/>
  <c r="DT267" i="16"/>
  <c r="DT261" i="16"/>
  <c r="DT255" i="16"/>
  <c r="DT249" i="16"/>
  <c r="DT243" i="16"/>
  <c r="DT237" i="16"/>
  <c r="DT219" i="16"/>
  <c r="DT213" i="16"/>
  <c r="DT207" i="16"/>
  <c r="DT188" i="16"/>
  <c r="DT113" i="16"/>
  <c r="DT77" i="16"/>
  <c r="AJ71" i="16"/>
  <c r="DT13" i="16" s="1"/>
  <c r="DG62" i="16"/>
  <c r="DO37" i="16"/>
  <c r="DO36" i="16"/>
  <c r="DO35" i="16"/>
  <c r="DO34" i="16"/>
  <c r="DO33" i="16"/>
  <c r="DO32" i="16"/>
  <c r="DO31" i="16"/>
  <c r="DO30" i="16"/>
  <c r="DO29" i="16"/>
  <c r="DO28" i="16"/>
  <c r="DO27" i="16"/>
  <c r="DO26" i="16"/>
  <c r="DO25" i="16"/>
  <c r="DO24" i="16"/>
  <c r="DO23" i="16"/>
  <c r="DO22" i="16"/>
  <c r="DO21" i="16"/>
  <c r="DO20" i="16"/>
  <c r="DO19" i="16"/>
  <c r="DO18" i="16"/>
  <c r="DO17" i="16"/>
  <c r="DO16" i="16"/>
  <c r="DO15" i="16"/>
  <c r="DO14" i="16"/>
  <c r="DO13" i="16"/>
  <c r="DR61" i="16"/>
  <c r="DP61" i="16"/>
  <c r="DN61" i="16"/>
  <c r="F60" i="16"/>
  <c r="M59" i="16"/>
  <c r="I59" i="16"/>
  <c r="DD58" i="16"/>
  <c r="DU275" i="16" s="1"/>
  <c r="DU276" i="16" s="1"/>
  <c r="DA58" i="16"/>
  <c r="DU269" i="16" s="1"/>
  <c r="DU270" i="16" s="1"/>
  <c r="CX58" i="16"/>
  <c r="DU263" i="16" s="1"/>
  <c r="DU264" i="16" s="1"/>
  <c r="CU58" i="16"/>
  <c r="DU257" i="16" s="1"/>
  <c r="DU258" i="16" s="1"/>
  <c r="CR58" i="16"/>
  <c r="DU251" i="16" s="1"/>
  <c r="DU252" i="16" s="1"/>
  <c r="CO58" i="16"/>
  <c r="DU245" i="16" s="1"/>
  <c r="DU246" i="16" s="1"/>
  <c r="CL58" i="16"/>
  <c r="DU239" i="16" s="1"/>
  <c r="DU240" i="16" s="1"/>
  <c r="CI58" i="16"/>
  <c r="DU233" i="16" s="1"/>
  <c r="DU234" i="16" s="1"/>
  <c r="CF58" i="16"/>
  <c r="DU227" i="16" s="1"/>
  <c r="DU228" i="16" s="1"/>
  <c r="CC58" i="16"/>
  <c r="DU221" i="16" s="1"/>
  <c r="DU222" i="16" s="1"/>
  <c r="BZ58" i="16"/>
  <c r="DU215" i="16" s="1"/>
  <c r="DU216" i="16" s="1"/>
  <c r="BW58" i="16"/>
  <c r="DU209" i="16" s="1"/>
  <c r="DU210" i="16" s="1"/>
  <c r="BT58" i="16"/>
  <c r="DU203" i="16" s="1"/>
  <c r="DU204" i="16" s="1"/>
  <c r="BQ58" i="16"/>
  <c r="DU198" i="16" s="1"/>
  <c r="BN58" i="16"/>
  <c r="DU191" i="16" s="1"/>
  <c r="DU192" i="16" s="1"/>
  <c r="BK58" i="16"/>
  <c r="DU184" i="16" s="1"/>
  <c r="DU185" i="16" s="1"/>
  <c r="BH58" i="16"/>
  <c r="DU180" i="16" s="1"/>
  <c r="DU181" i="16" s="1"/>
  <c r="BE58" i="16"/>
  <c r="BB58" i="16"/>
  <c r="DU114" i="16" s="1"/>
  <c r="DU115" i="16" s="1"/>
  <c r="AY58" i="16"/>
  <c r="DU109" i="16" s="1"/>
  <c r="DU110" i="16" s="1"/>
  <c r="AV58" i="16"/>
  <c r="AS58" i="16"/>
  <c r="DU99" i="16" s="1"/>
  <c r="AP58" i="16"/>
  <c r="DU94" i="16" s="1"/>
  <c r="AM58" i="16"/>
  <c r="DU74" i="16" s="1"/>
  <c r="AJ58" i="16"/>
  <c r="DU69" i="16" s="1"/>
  <c r="M58" i="16"/>
  <c r="DG56" i="16"/>
  <c r="DD56" i="16"/>
  <c r="DA56" i="16"/>
  <c r="CX56" i="16"/>
  <c r="CU56" i="16"/>
  <c r="DU255" i="16" s="1"/>
  <c r="DU256" i="16" s="1"/>
  <c r="CR56" i="16"/>
  <c r="DU249" i="16" s="1"/>
  <c r="CO56" i="16"/>
  <c r="DU243" i="16" s="1"/>
  <c r="CL56" i="16"/>
  <c r="DU237" i="16" s="1"/>
  <c r="DU238" i="16" s="1"/>
  <c r="CI56" i="16"/>
  <c r="DU231" i="16" s="1"/>
  <c r="DU232" i="16" s="1"/>
  <c r="CF56" i="16"/>
  <c r="CC56" i="16"/>
  <c r="BZ56" i="16"/>
  <c r="BW56" i="16"/>
  <c r="DU207" i="16" s="1"/>
  <c r="DU208" i="16" s="1"/>
  <c r="BT56" i="16"/>
  <c r="DU201" i="16" s="1"/>
  <c r="DU202" i="16" s="1"/>
  <c r="BQ56" i="16"/>
  <c r="BN56" i="16"/>
  <c r="BK56" i="16"/>
  <c r="BH56" i="16"/>
  <c r="DU178" i="16" s="1"/>
  <c r="BE56" i="16"/>
  <c r="BB56" i="16"/>
  <c r="AY56" i="16"/>
  <c r="DU108" i="16" s="1"/>
  <c r="AV56" i="16"/>
  <c r="DU103" i="16" s="1"/>
  <c r="AS56" i="16"/>
  <c r="DU97" i="16" s="1"/>
  <c r="DU98" i="16" s="1"/>
  <c r="AP56" i="16"/>
  <c r="AM56" i="16"/>
  <c r="AJ56" i="16"/>
  <c r="M53" i="16"/>
  <c r="DG52" i="16"/>
  <c r="DP38" i="16" s="1"/>
  <c r="DD52" i="16"/>
  <c r="DP37" i="16" s="1"/>
  <c r="DA52" i="16"/>
  <c r="DP36" i="16" s="1"/>
  <c r="CX52" i="16"/>
  <c r="DP35" i="16" s="1"/>
  <c r="CU52" i="16"/>
  <c r="DP34" i="16" s="1"/>
  <c r="CR52" i="16"/>
  <c r="DP33" i="16" s="1"/>
  <c r="CO52" i="16"/>
  <c r="DP32" i="16" s="1"/>
  <c r="CL52" i="16"/>
  <c r="DP31" i="16" s="1"/>
  <c r="CI52" i="16"/>
  <c r="DP30" i="16" s="1"/>
  <c r="CF52" i="16"/>
  <c r="DP29" i="16" s="1"/>
  <c r="CC52" i="16"/>
  <c r="DP28" i="16" s="1"/>
  <c r="BZ52" i="16"/>
  <c r="DP27" i="16" s="1"/>
  <c r="BW52" i="16"/>
  <c r="DP26" i="16" s="1"/>
  <c r="BT52" i="16"/>
  <c r="DP25" i="16" s="1"/>
  <c r="BQ52" i="16"/>
  <c r="DP24" i="16" s="1"/>
  <c r="BN52" i="16"/>
  <c r="DP23" i="16" s="1"/>
  <c r="BK52" i="16"/>
  <c r="DP22" i="16" s="1"/>
  <c r="BH52" i="16"/>
  <c r="DP21" i="16" s="1"/>
  <c r="BE52" i="16"/>
  <c r="DP20" i="16" s="1"/>
  <c r="BB52" i="16"/>
  <c r="DP19" i="16" s="1"/>
  <c r="AY52" i="16"/>
  <c r="DP18" i="16" s="1"/>
  <c r="AV52" i="16"/>
  <c r="DP17" i="16" s="1"/>
  <c r="AS52" i="16"/>
  <c r="DP16" i="16" s="1"/>
  <c r="AP52" i="16"/>
  <c r="DP15" i="16" s="1"/>
  <c r="AM52" i="16"/>
  <c r="DP14" i="16" s="1"/>
  <c r="AJ52" i="16"/>
  <c r="DP13" i="16" s="1"/>
  <c r="M52" i="16"/>
  <c r="I52" i="16"/>
  <c r="DY10" i="16" s="1"/>
  <c r="EG10" i="16" s="1"/>
  <c r="I51" i="16"/>
  <c r="Z34" i="16" s="1"/>
  <c r="M50" i="16"/>
  <c r="DG48" i="16"/>
  <c r="DD48" i="16"/>
  <c r="DA48" i="16"/>
  <c r="CX48" i="16"/>
  <c r="CU48" i="16"/>
  <c r="CR48" i="16"/>
  <c r="CO48" i="16"/>
  <c r="CL48" i="16"/>
  <c r="CI48" i="16"/>
  <c r="CF48" i="16"/>
  <c r="CC48" i="16"/>
  <c r="BZ48" i="16"/>
  <c r="BW48" i="16"/>
  <c r="BT48" i="16"/>
  <c r="BQ48" i="16"/>
  <c r="BN48" i="16"/>
  <c r="BK48" i="16"/>
  <c r="BH48" i="16"/>
  <c r="BE48" i="16"/>
  <c r="BB48" i="16"/>
  <c r="AY48" i="16"/>
  <c r="AV48" i="16"/>
  <c r="AS48" i="16"/>
  <c r="AP48" i="16"/>
  <c r="AM48" i="16"/>
  <c r="AJ48" i="16"/>
  <c r="DV69" i="16" s="1"/>
  <c r="M48" i="16"/>
  <c r="M47" i="16"/>
  <c r="DG46" i="16"/>
  <c r="DD46" i="16"/>
  <c r="DA46" i="16"/>
  <c r="CX46" i="16"/>
  <c r="CU46" i="16"/>
  <c r="CR46" i="16"/>
  <c r="CO46" i="16"/>
  <c r="CL46" i="16"/>
  <c r="CI46" i="16"/>
  <c r="CF46" i="16"/>
  <c r="CC46" i="16"/>
  <c r="BZ46" i="16"/>
  <c r="BW46" i="16"/>
  <c r="BT46" i="16"/>
  <c r="BQ46" i="16"/>
  <c r="BN46" i="16"/>
  <c r="BK46" i="16"/>
  <c r="BH46" i="16"/>
  <c r="BE46" i="16"/>
  <c r="BB46" i="16"/>
  <c r="AY46" i="16"/>
  <c r="AV46" i="16"/>
  <c r="AS46" i="16"/>
  <c r="AP46" i="16"/>
  <c r="AM46" i="16"/>
  <c r="DV72" i="16" s="1"/>
  <c r="AJ46" i="16"/>
  <c r="EB41" i="16"/>
  <c r="DQ41" i="16"/>
  <c r="DQ47" i="16" s="1"/>
  <c r="DG41" i="16"/>
  <c r="DR38" i="16" s="1"/>
  <c r="DD41" i="16"/>
  <c r="DR37" i="16" s="1"/>
  <c r="DA41" i="16"/>
  <c r="DR36" i="16" s="1"/>
  <c r="CX41" i="16"/>
  <c r="DR35" i="16" s="1"/>
  <c r="CU41" i="16"/>
  <c r="DR34" i="16" s="1"/>
  <c r="CR41" i="16"/>
  <c r="DR33" i="16" s="1"/>
  <c r="CO41" i="16"/>
  <c r="DR32" i="16" s="1"/>
  <c r="CL41" i="16"/>
  <c r="DR31" i="16" s="1"/>
  <c r="CI41" i="16"/>
  <c r="DR30" i="16" s="1"/>
  <c r="CF41" i="16"/>
  <c r="DR29" i="16" s="1"/>
  <c r="CC41" i="16"/>
  <c r="DR28" i="16" s="1"/>
  <c r="BZ41" i="16"/>
  <c r="DR27" i="16" s="1"/>
  <c r="BW41" i="16"/>
  <c r="DR26" i="16" s="1"/>
  <c r="BT41" i="16"/>
  <c r="DR25" i="16" s="1"/>
  <c r="BQ41" i="16"/>
  <c r="DR24" i="16" s="1"/>
  <c r="BN41" i="16"/>
  <c r="DR23" i="16" s="1"/>
  <c r="BK41" i="16"/>
  <c r="DR22" i="16" s="1"/>
  <c r="BH41" i="16"/>
  <c r="DR21" i="16" s="1"/>
  <c r="BE41" i="16"/>
  <c r="DR20" i="16" s="1"/>
  <c r="BB41" i="16"/>
  <c r="DR19" i="16" s="1"/>
  <c r="AY41" i="16"/>
  <c r="DR18" i="16" s="1"/>
  <c r="AV41" i="16"/>
  <c r="DR17" i="16" s="1"/>
  <c r="AS41" i="16"/>
  <c r="DR16" i="16" s="1"/>
  <c r="AP41" i="16"/>
  <c r="DR15" i="16" s="1"/>
  <c r="AM41" i="16"/>
  <c r="DR14" i="16" s="1"/>
  <c r="AJ41" i="16"/>
  <c r="DR13" i="16" s="1"/>
  <c r="AG41" i="16"/>
  <c r="DR12" i="16" s="1"/>
  <c r="DG40" i="16"/>
  <c r="DW38" i="16" s="1"/>
  <c r="DD40" i="16"/>
  <c r="DW37" i="16" s="1"/>
  <c r="DA40" i="16"/>
  <c r="DW36" i="16" s="1"/>
  <c r="CX40" i="16"/>
  <c r="DW35" i="16" s="1"/>
  <c r="CU40" i="16"/>
  <c r="DW34" i="16" s="1"/>
  <c r="CR40" i="16"/>
  <c r="DW33" i="16" s="1"/>
  <c r="CO40" i="16"/>
  <c r="DW32" i="16" s="1"/>
  <c r="CL40" i="16"/>
  <c r="DW31" i="16" s="1"/>
  <c r="CI40" i="16"/>
  <c r="DW30" i="16" s="1"/>
  <c r="CF40" i="16"/>
  <c r="DW29" i="16" s="1"/>
  <c r="CC40" i="16"/>
  <c r="DW28" i="16" s="1"/>
  <c r="BZ40" i="16"/>
  <c r="DW27" i="16" s="1"/>
  <c r="BW40" i="16"/>
  <c r="DW26" i="16" s="1"/>
  <c r="BT40" i="16"/>
  <c r="DW25" i="16" s="1"/>
  <c r="BQ40" i="16"/>
  <c r="DW24" i="16" s="1"/>
  <c r="BN40" i="16"/>
  <c r="DW23" i="16" s="1"/>
  <c r="BK40" i="16"/>
  <c r="DW22" i="16" s="1"/>
  <c r="BH40" i="16"/>
  <c r="DW21" i="16" s="1"/>
  <c r="BE40" i="16"/>
  <c r="DW20" i="16" s="1"/>
  <c r="BB40" i="16"/>
  <c r="DW19" i="16" s="1"/>
  <c r="AY40" i="16"/>
  <c r="DW18" i="16" s="1"/>
  <c r="AV40" i="16"/>
  <c r="DW17" i="16" s="1"/>
  <c r="AS40" i="16"/>
  <c r="DW16" i="16" s="1"/>
  <c r="AP40" i="16"/>
  <c r="DW15" i="16" s="1"/>
  <c r="AM40" i="16"/>
  <c r="DW14" i="16" s="1"/>
  <c r="AJ40" i="16"/>
  <c r="DW13" i="16" s="1"/>
  <c r="AG40" i="16"/>
  <c r="DW12" i="16" s="1"/>
  <c r="DX39" i="16"/>
  <c r="DS39" i="16"/>
  <c r="F38" i="16"/>
  <c r="I37" i="16"/>
  <c r="F37" i="16"/>
  <c r="C37" i="16"/>
  <c r="I36" i="16"/>
  <c r="C36" i="16"/>
  <c r="C56" i="16" s="1"/>
  <c r="C58" i="16" s="1"/>
  <c r="P35" i="16"/>
  <c r="Y34" i="16"/>
  <c r="P34" i="16"/>
  <c r="AD29" i="16"/>
  <c r="DJ28" i="16"/>
  <c r="AD28" i="16"/>
  <c r="AG26" i="16"/>
  <c r="AG25" i="16"/>
  <c r="DG24" i="16"/>
  <c r="AG24" i="16"/>
  <c r="AG23" i="16"/>
  <c r="Y23" i="16"/>
  <c r="M21" i="16"/>
  <c r="DJ20" i="16"/>
  <c r="CL20" i="16"/>
  <c r="BH20" i="16"/>
  <c r="AD20" i="16"/>
  <c r="S18" i="16"/>
  <c r="DJ17" i="16"/>
  <c r="DG17" i="16"/>
  <c r="DD17" i="16"/>
  <c r="DA17" i="16"/>
  <c r="CX17" i="16"/>
  <c r="CU17" i="16"/>
  <c r="CR17" i="16"/>
  <c r="CO17" i="16"/>
  <c r="CL17" i="16"/>
  <c r="CI17" i="16"/>
  <c r="CF17" i="16"/>
  <c r="CC17" i="16"/>
  <c r="BZ17" i="16"/>
  <c r="BW17" i="16"/>
  <c r="BT17" i="16"/>
  <c r="BQ17" i="16"/>
  <c r="BN17" i="16"/>
  <c r="BK17" i="16"/>
  <c r="BH17" i="16"/>
  <c r="BE17" i="16"/>
  <c r="BB17" i="16"/>
  <c r="AY17" i="16"/>
  <c r="AV17" i="16"/>
  <c r="AS17" i="16"/>
  <c r="AP17" i="16"/>
  <c r="AM17" i="16"/>
  <c r="AJ17" i="16"/>
  <c r="AG17" i="16"/>
  <c r="DN14" i="16"/>
  <c r="P14" i="16"/>
  <c r="V18" i="16" s="1"/>
  <c r="Y13" i="16"/>
  <c r="EI12" i="16"/>
  <c r="DP12" i="16"/>
  <c r="DO12" i="16"/>
  <c r="EI11" i="16"/>
  <c r="DR11" i="16"/>
  <c r="DP11" i="16"/>
  <c r="DO11" i="16"/>
  <c r="DO41" i="16" s="1"/>
  <c r="DO47" i="16" s="1"/>
  <c r="EI10" i="16"/>
  <c r="DX10" i="16"/>
  <c r="DS10" i="16"/>
  <c r="BE10" i="16"/>
  <c r="BB10" i="16"/>
  <c r="AY10" i="16"/>
  <c r="AV10" i="16"/>
  <c r="AS10" i="16"/>
  <c r="AP10" i="16"/>
  <c r="AM10" i="16"/>
  <c r="AJ10" i="16"/>
  <c r="AG10" i="16"/>
  <c r="AD10" i="16"/>
  <c r="EI9" i="16"/>
  <c r="EE9" i="16"/>
  <c r="EE10" i="16" s="1"/>
  <c r="EE11" i="16" s="1"/>
  <c r="EE12" i="16" s="1"/>
  <c r="EE13" i="16" s="1"/>
  <c r="EE14" i="16" s="1"/>
  <c r="EE15" i="16" s="1"/>
  <c r="EE16" i="16" s="1"/>
  <c r="EE17" i="16" s="1"/>
  <c r="EE18" i="16" s="1"/>
  <c r="EE19" i="16" s="1"/>
  <c r="EE20" i="16" s="1"/>
  <c r="EE21" i="16" s="1"/>
  <c r="EE22" i="16" s="1"/>
  <c r="EE23" i="16" s="1"/>
  <c r="EE24" i="16" s="1"/>
  <c r="EE25" i="16" s="1"/>
  <c r="EE26" i="16" s="1"/>
  <c r="EE27" i="16" s="1"/>
  <c r="EE28" i="16" s="1"/>
  <c r="EE29" i="16" s="1"/>
  <c r="EE30" i="16" s="1"/>
  <c r="EE31" i="16" s="1"/>
  <c r="EE32" i="16" s="1"/>
  <c r="EE33" i="16" s="1"/>
  <c r="EE34" i="16" s="1"/>
  <c r="EE35" i="16" s="1"/>
  <c r="EE36" i="16" s="1"/>
  <c r="EE37" i="16" s="1"/>
  <c r="EE38" i="16" s="1"/>
  <c r="DY9" i="16"/>
  <c r="EG9" i="16" s="1"/>
  <c r="DX9" i="16"/>
  <c r="DS9" i="16"/>
  <c r="DL9" i="16"/>
  <c r="DL10" i="16" s="1"/>
  <c r="DL11" i="16" s="1"/>
  <c r="DL12" i="16" s="1"/>
  <c r="DL13" i="16" s="1"/>
  <c r="DL14" i="16" s="1"/>
  <c r="DL15" i="16" s="1"/>
  <c r="DL16" i="16" s="1"/>
  <c r="DL17" i="16" s="1"/>
  <c r="DL18" i="16" s="1"/>
  <c r="DL19" i="16" s="1"/>
  <c r="DL20" i="16" s="1"/>
  <c r="DL21" i="16" s="1"/>
  <c r="DL22" i="16" s="1"/>
  <c r="DL23" i="16" s="1"/>
  <c r="DL24" i="16" s="1"/>
  <c r="DL25" i="16" s="1"/>
  <c r="DL26" i="16" s="1"/>
  <c r="DL27" i="16" s="1"/>
  <c r="DL28" i="16" s="1"/>
  <c r="DL29" i="16" s="1"/>
  <c r="DL30" i="16" s="1"/>
  <c r="DL31" i="16" s="1"/>
  <c r="DL32" i="16" s="1"/>
  <c r="DL33" i="16" s="1"/>
  <c r="DL34" i="16" s="1"/>
  <c r="DL35" i="16" s="1"/>
  <c r="DL36" i="16" s="1"/>
  <c r="DL37" i="16" s="1"/>
  <c r="DL38" i="16" s="1"/>
  <c r="CI9" i="16"/>
  <c r="CF9" i="16"/>
  <c r="CC9" i="16"/>
  <c r="BZ9" i="16"/>
  <c r="BW9" i="16"/>
  <c r="BT9" i="16"/>
  <c r="BQ9" i="16"/>
  <c r="BN9" i="16"/>
  <c r="BK9" i="16"/>
  <c r="BH9" i="16"/>
  <c r="BE9" i="16"/>
  <c r="BB9" i="16"/>
  <c r="AY9" i="16"/>
  <c r="AV9" i="16"/>
  <c r="AS9" i="16"/>
  <c r="AP9" i="16"/>
  <c r="AM9" i="16"/>
  <c r="AJ9" i="16"/>
  <c r="AG9" i="16"/>
  <c r="AD9" i="16"/>
  <c r="V9" i="16"/>
  <c r="DY8" i="16"/>
  <c r="DX8" i="16"/>
  <c r="DS8" i="16"/>
  <c r="DJ8" i="16"/>
  <c r="DG8" i="16"/>
  <c r="DD8" i="16"/>
  <c r="DA8" i="16"/>
  <c r="CX8" i="16"/>
  <c r="CU8" i="16"/>
  <c r="CR8" i="16"/>
  <c r="CO8" i="16"/>
  <c r="CL8" i="16"/>
  <c r="CI8" i="16"/>
  <c r="CF8" i="16"/>
  <c r="CC8" i="16"/>
  <c r="BZ8" i="16"/>
  <c r="BW8" i="16"/>
  <c r="BT8" i="16"/>
  <c r="BQ8" i="16"/>
  <c r="BN8" i="16"/>
  <c r="BK8" i="16"/>
  <c r="BH8" i="16"/>
  <c r="BE8" i="16"/>
  <c r="BB8" i="16"/>
  <c r="AY8" i="16"/>
  <c r="AV8" i="16"/>
  <c r="AS8" i="16"/>
  <c r="AP8" i="16"/>
  <c r="AM8" i="16"/>
  <c r="AJ8" i="16"/>
  <c r="AG8" i="16"/>
  <c r="AD8" i="16"/>
  <c r="D7" i="16"/>
  <c r="DU179" i="16" l="1"/>
  <c r="CL51" i="16"/>
  <c r="DV31" i="16" s="1"/>
  <c r="CO51" i="16"/>
  <c r="DV32" i="16" s="1"/>
  <c r="DZ8" i="16"/>
  <c r="EA8" i="16" s="1"/>
  <c r="DS24" i="16"/>
  <c r="AV71" i="16"/>
  <c r="DT17" i="16" s="1"/>
  <c r="CL27" i="16"/>
  <c r="DY31" i="16" s="1"/>
  <c r="EG31" i="16" s="1"/>
  <c r="CO27" i="16"/>
  <c r="DY32" i="16" s="1"/>
  <c r="EG32" i="16" s="1"/>
  <c r="DX66" i="16"/>
  <c r="DY66" i="16" s="1"/>
  <c r="DZ66" i="16" s="1"/>
  <c r="EA66" i="16" s="1"/>
  <c r="DS34" i="16"/>
  <c r="AY51" i="16"/>
  <c r="DV18" i="16" s="1"/>
  <c r="DG51" i="16"/>
  <c r="DV38" i="16" s="1"/>
  <c r="AJ61" i="16"/>
  <c r="DU13" i="16" s="1"/>
  <c r="DS26" i="16"/>
  <c r="BB51" i="16"/>
  <c r="DV19" i="16" s="1"/>
  <c r="DD27" i="16"/>
  <c r="DY37" i="16" s="1"/>
  <c r="EG37" i="16" s="1"/>
  <c r="CI71" i="16"/>
  <c r="DT30" i="16" s="1"/>
  <c r="N51" i="16"/>
  <c r="BN27" i="16"/>
  <c r="DY23" i="16" s="1"/>
  <c r="EG23" i="16" s="1"/>
  <c r="BH51" i="16"/>
  <c r="AY71" i="16"/>
  <c r="DT18" i="16" s="1"/>
  <c r="CU51" i="16"/>
  <c r="DV256" i="16" s="1"/>
  <c r="DX256" i="16" s="1"/>
  <c r="AP51" i="16"/>
  <c r="DV15" i="16" s="1"/>
  <c r="Z13" i="16"/>
  <c r="Z15" i="16" s="1"/>
  <c r="DA71" i="16"/>
  <c r="DT36" i="16" s="1"/>
  <c r="BE27" i="16"/>
  <c r="DY20" i="16" s="1"/>
  <c r="EG20" i="16" s="1"/>
  <c r="AS51" i="16"/>
  <c r="DV16" i="16" s="1"/>
  <c r="AP27" i="16"/>
  <c r="DY15" i="16" s="1"/>
  <c r="EG15" i="16" s="1"/>
  <c r="CU27" i="16"/>
  <c r="DY34" i="16" s="1"/>
  <c r="EG34" i="16" s="1"/>
  <c r="DS38" i="16"/>
  <c r="DJ27" i="16"/>
  <c r="DY39" i="16" s="1"/>
  <c r="EG39" i="16" s="1"/>
  <c r="DS19" i="16"/>
  <c r="AG27" i="16"/>
  <c r="DY12" i="16" s="1"/>
  <c r="EG12" i="16" s="1"/>
  <c r="DT11" i="16"/>
  <c r="DX11" i="16" s="1"/>
  <c r="BQ27" i="16"/>
  <c r="DY24" i="16" s="1"/>
  <c r="EG24" i="16" s="1"/>
  <c r="BW51" i="16"/>
  <c r="DV207" i="16" s="1"/>
  <c r="DX207" i="16" s="1"/>
  <c r="DS27" i="16"/>
  <c r="DX65" i="16"/>
  <c r="DY65" i="16" s="1"/>
  <c r="DZ65" i="16" s="1"/>
  <c r="EA65" i="16" s="1"/>
  <c r="DS14" i="16"/>
  <c r="DS30" i="16"/>
  <c r="DS20" i="16"/>
  <c r="DS33" i="16"/>
  <c r="DS21" i="16"/>
  <c r="DN41" i="16"/>
  <c r="DN47" i="16" s="1"/>
  <c r="DS31" i="16"/>
  <c r="AM27" i="16"/>
  <c r="DY14" i="16" s="1"/>
  <c r="EG14" i="16" s="1"/>
  <c r="BK27" i="16"/>
  <c r="DY22" i="16" s="1"/>
  <c r="EG22" i="16" s="1"/>
  <c r="CI27" i="16"/>
  <c r="DY30" i="16" s="1"/>
  <c r="EG30" i="16" s="1"/>
  <c r="DG27" i="16"/>
  <c r="DY38" i="16" s="1"/>
  <c r="EG38" i="16" s="1"/>
  <c r="AJ27" i="16"/>
  <c r="DY13" i="16" s="1"/>
  <c r="EG13" i="16" s="1"/>
  <c r="BH27" i="16"/>
  <c r="DY21" i="16" s="1"/>
  <c r="EG21" i="16" s="1"/>
  <c r="CF27" i="16"/>
  <c r="DY29" i="16" s="1"/>
  <c r="EG29" i="16" s="1"/>
  <c r="DA27" i="16"/>
  <c r="DY36" i="16" s="1"/>
  <c r="EG36" i="16" s="1"/>
  <c r="AV61" i="16"/>
  <c r="DU17" i="16" s="1"/>
  <c r="AY61" i="16"/>
  <c r="DU18" i="16" s="1"/>
  <c r="BT71" i="16"/>
  <c r="DT25" i="16" s="1"/>
  <c r="AP71" i="16"/>
  <c r="DT15" i="16" s="1"/>
  <c r="DT109" i="16"/>
  <c r="DS22" i="16"/>
  <c r="DS17" i="16"/>
  <c r="DS25" i="16"/>
  <c r="CU61" i="16"/>
  <c r="DU34" i="16" s="1"/>
  <c r="DS23" i="16"/>
  <c r="DW41" i="16"/>
  <c r="DW47" i="16" s="1"/>
  <c r="DR41" i="16"/>
  <c r="DR47" i="16" s="1"/>
  <c r="BE51" i="16"/>
  <c r="DV20" i="16" s="1"/>
  <c r="CC51" i="16"/>
  <c r="DV221" i="16" s="1"/>
  <c r="DX221" i="16" s="1"/>
  <c r="DA51" i="16"/>
  <c r="DV267" i="16" s="1"/>
  <c r="AS27" i="16"/>
  <c r="DY16" i="16" s="1"/>
  <c r="EG16" i="16" s="1"/>
  <c r="AV27" i="16"/>
  <c r="DY17" i="16" s="1"/>
  <c r="EG17" i="16" s="1"/>
  <c r="C52" i="16"/>
  <c r="CF51" i="16"/>
  <c r="DV29" i="16" s="1"/>
  <c r="DD51" i="16"/>
  <c r="DV274" i="16" s="1"/>
  <c r="AP61" i="16"/>
  <c r="DU15" i="16" s="1"/>
  <c r="BB71" i="16"/>
  <c r="DT19" i="16" s="1"/>
  <c r="DU77" i="16"/>
  <c r="DU78" i="16" s="1"/>
  <c r="DS16" i="16"/>
  <c r="BT27" i="16"/>
  <c r="DY25" i="16" s="1"/>
  <c r="EG25" i="16" s="1"/>
  <c r="CR27" i="16"/>
  <c r="DY33" i="16" s="1"/>
  <c r="EG33" i="16" s="1"/>
  <c r="AY27" i="16"/>
  <c r="DY18" i="16" s="1"/>
  <c r="EG18" i="16" s="1"/>
  <c r="BW27" i="16"/>
  <c r="DY26" i="16" s="1"/>
  <c r="EG26" i="16" s="1"/>
  <c r="DZ10" i="16"/>
  <c r="EA10" i="16" s="1"/>
  <c r="I56" i="16"/>
  <c r="BK51" i="16"/>
  <c r="DX69" i="16"/>
  <c r="DY69" i="16" s="1"/>
  <c r="AD37" i="16"/>
  <c r="DY11" i="16" s="1"/>
  <c r="EG11" i="16" s="1"/>
  <c r="BZ27" i="16"/>
  <c r="DY27" i="16" s="1"/>
  <c r="EG27" i="16" s="1"/>
  <c r="DS18" i="16"/>
  <c r="DS29" i="16"/>
  <c r="DS37" i="16"/>
  <c r="BZ51" i="16"/>
  <c r="DV215" i="16" s="1"/>
  <c r="DX215" i="16" s="1"/>
  <c r="CX51" i="16"/>
  <c r="DV35" i="16" s="1"/>
  <c r="DT61" i="16"/>
  <c r="DX61" i="16" s="1"/>
  <c r="CX27" i="16"/>
  <c r="DY35" i="16" s="1"/>
  <c r="EG35" i="16" s="1"/>
  <c r="DS13" i="16"/>
  <c r="CC27" i="16"/>
  <c r="DY28" i="16" s="1"/>
  <c r="EG28" i="16" s="1"/>
  <c r="BB27" i="16"/>
  <c r="DY19" i="16" s="1"/>
  <c r="EG19" i="16" s="1"/>
  <c r="DS12" i="16"/>
  <c r="DS28" i="16"/>
  <c r="DS35" i="16"/>
  <c r="Z35" i="16"/>
  <c r="DP41" i="16"/>
  <c r="DS11" i="16"/>
  <c r="DS41" i="16" s="1"/>
  <c r="N13" i="16"/>
  <c r="DS36" i="16"/>
  <c r="DS15" i="16"/>
  <c r="I61" i="16"/>
  <c r="EG8" i="16"/>
  <c r="F58" i="16"/>
  <c r="F61" i="16"/>
  <c r="F62" i="16" s="1"/>
  <c r="P44" i="16"/>
  <c r="DU113" i="16"/>
  <c r="BB61" i="16"/>
  <c r="DU19" i="16" s="1"/>
  <c r="DU213" i="16"/>
  <c r="DU214" i="16" s="1"/>
  <c r="BZ61" i="16"/>
  <c r="DU27" i="16" s="1"/>
  <c r="DU261" i="16"/>
  <c r="DU262" i="16" s="1"/>
  <c r="CX61" i="16"/>
  <c r="DU35" i="16" s="1"/>
  <c r="Z36" i="16"/>
  <c r="Z37" i="16"/>
  <c r="DU118" i="16"/>
  <c r="BE61" i="16"/>
  <c r="DU20" i="16" s="1"/>
  <c r="DU219" i="16"/>
  <c r="DU220" i="16" s="1"/>
  <c r="CC61" i="16"/>
  <c r="DU28" i="16" s="1"/>
  <c r="DU267" i="16"/>
  <c r="DU268" i="16" s="1"/>
  <c r="DA61" i="16"/>
  <c r="DU36" i="16" s="1"/>
  <c r="DY64" i="16"/>
  <c r="DZ64" i="16" s="1"/>
  <c r="EA64" i="16" s="1"/>
  <c r="DZ9" i="16"/>
  <c r="EA9" i="16" s="1"/>
  <c r="DS32" i="16"/>
  <c r="DQ53" i="16"/>
  <c r="CI51" i="16"/>
  <c r="CI61" i="16"/>
  <c r="DU30" i="16" s="1"/>
  <c r="BN51" i="16"/>
  <c r="AM51" i="16"/>
  <c r="DU72" i="16"/>
  <c r="AM61" i="16"/>
  <c r="DU14" i="16" s="1"/>
  <c r="BK61" i="16"/>
  <c r="DU22" i="16" s="1"/>
  <c r="DU279" i="16"/>
  <c r="DU280" i="16" s="1"/>
  <c r="DG65" i="16"/>
  <c r="DU38" i="16" s="1"/>
  <c r="BQ51" i="16"/>
  <c r="DO53" i="16"/>
  <c r="DS61" i="16"/>
  <c r="AV51" i="16"/>
  <c r="DV17" i="16" s="1"/>
  <c r="BT51" i="16"/>
  <c r="CR51" i="16"/>
  <c r="AJ51" i="16"/>
  <c r="DV13" i="16" s="1"/>
  <c r="BH61" i="16"/>
  <c r="DU21" i="16" s="1"/>
  <c r="CF61" i="16"/>
  <c r="DU29" i="16" s="1"/>
  <c r="DU225" i="16"/>
  <c r="DU226" i="16" s="1"/>
  <c r="DU273" i="16"/>
  <c r="DU274" i="16" s="1"/>
  <c r="DD61" i="16"/>
  <c r="DU37" i="16" s="1"/>
  <c r="CL61" i="16"/>
  <c r="DU31" i="16" s="1"/>
  <c r="AM71" i="16"/>
  <c r="DT14" i="16" s="1"/>
  <c r="BW71" i="16"/>
  <c r="DT26" i="16" s="1"/>
  <c r="AG73" i="16"/>
  <c r="DT12" i="16" s="1"/>
  <c r="DX12" i="16" s="1"/>
  <c r="DT103" i="16"/>
  <c r="CO61" i="16"/>
  <c r="DU32" i="16" s="1"/>
  <c r="BZ71" i="16"/>
  <c r="DT27" i="16" s="1"/>
  <c r="DT201" i="16"/>
  <c r="DU188" i="16"/>
  <c r="DU190" i="16" s="1"/>
  <c r="BN61" i="16"/>
  <c r="DU23" i="16" s="1"/>
  <c r="CR61" i="16"/>
  <c r="DU33" i="16" s="1"/>
  <c r="CC71" i="16"/>
  <c r="DT28" i="16" s="1"/>
  <c r="DT231" i="16"/>
  <c r="DU244" i="16"/>
  <c r="BQ61" i="16"/>
  <c r="DU24" i="16" s="1"/>
  <c r="CL71" i="16"/>
  <c r="DT31" i="16" s="1"/>
  <c r="DU104" i="16"/>
  <c r="DU105" i="16" s="1"/>
  <c r="Z23" i="16"/>
  <c r="BT61" i="16"/>
  <c r="DU25" i="16" s="1"/>
  <c r="CO71" i="16"/>
  <c r="DT32" i="16" s="1"/>
  <c r="AS61" i="16"/>
  <c r="DU16" i="16" s="1"/>
  <c r="BW61" i="16"/>
  <c r="DU26" i="16" s="1"/>
  <c r="BH71" i="16"/>
  <c r="DT21" i="16" s="1"/>
  <c r="DT225" i="16"/>
  <c r="CF71" i="16"/>
  <c r="DT29" i="16" s="1"/>
  <c r="DT273" i="16"/>
  <c r="DD71" i="16"/>
  <c r="DT37" i="16" s="1"/>
  <c r="DG76" i="16"/>
  <c r="DT38" i="16" s="1"/>
  <c r="DT279" i="16"/>
  <c r="BN71" i="16"/>
  <c r="DT23" i="16" s="1"/>
  <c r="CR71" i="16"/>
  <c r="DT33" i="16" s="1"/>
  <c r="BK71" i="16"/>
  <c r="DT22" i="16" s="1"/>
  <c r="BQ71" i="16"/>
  <c r="DT24" i="16" s="1"/>
  <c r="CU71" i="16"/>
  <c r="DT34" i="16" s="1"/>
  <c r="CX71" i="16"/>
  <c r="DT35" i="16" s="1"/>
  <c r="DU250" i="16"/>
  <c r="DW284" i="16"/>
  <c r="DV239" i="16" l="1"/>
  <c r="DX239" i="16" s="1"/>
  <c r="DV185" i="16"/>
  <c r="DX185" i="16" s="1"/>
  <c r="DV184" i="16"/>
  <c r="DX184" i="16" s="1"/>
  <c r="DV178" i="16"/>
  <c r="DX178" i="16" s="1"/>
  <c r="DV180" i="16"/>
  <c r="DX180" i="16" s="1"/>
  <c r="DV179" i="16"/>
  <c r="DX179" i="16" s="1"/>
  <c r="DV181" i="16"/>
  <c r="DX181" i="16" s="1"/>
  <c r="DV21" i="16"/>
  <c r="DX21" i="16" s="1"/>
  <c r="DZ21" i="16" s="1"/>
  <c r="EA21" i="16" s="1"/>
  <c r="DV243" i="16"/>
  <c r="DX243" i="16" s="1"/>
  <c r="DY243" i="16" s="1"/>
  <c r="DZ243" i="16" s="1"/>
  <c r="EA243" i="16" s="1"/>
  <c r="DV246" i="16"/>
  <c r="DX246" i="16" s="1"/>
  <c r="DY246" i="16" s="1"/>
  <c r="DZ246" i="16" s="1"/>
  <c r="EA246" i="16" s="1"/>
  <c r="DV244" i="16"/>
  <c r="DX244" i="16" s="1"/>
  <c r="DY244" i="16" s="1"/>
  <c r="DV245" i="16"/>
  <c r="DX245" i="16" s="1"/>
  <c r="DY245" i="16" s="1"/>
  <c r="DZ245" i="16" s="1"/>
  <c r="EA245" i="16" s="1"/>
  <c r="DV238" i="16"/>
  <c r="DX238" i="16" s="1"/>
  <c r="DY238" i="16" s="1"/>
  <c r="DZ238" i="16" s="1"/>
  <c r="EA238" i="16" s="1"/>
  <c r="DV237" i="16"/>
  <c r="DX237" i="16" s="1"/>
  <c r="DY237" i="16" s="1"/>
  <c r="DZ237" i="16" s="1"/>
  <c r="EA237" i="16" s="1"/>
  <c r="DV240" i="16"/>
  <c r="DX240" i="16" s="1"/>
  <c r="DY240" i="16" s="1"/>
  <c r="DZ240" i="16" s="1"/>
  <c r="EA240" i="16" s="1"/>
  <c r="DV77" i="16"/>
  <c r="DX77" i="16" s="1"/>
  <c r="DY77" i="16" s="1"/>
  <c r="DZ77" i="16" s="1"/>
  <c r="DV78" i="16"/>
  <c r="DX78" i="16" s="1"/>
  <c r="DY78" i="16" s="1"/>
  <c r="DZ78" i="16" s="1"/>
  <c r="EA78" i="16" s="1"/>
  <c r="DV113" i="16"/>
  <c r="DX113" i="16" s="1"/>
  <c r="DV263" i="16"/>
  <c r="DX263" i="16" s="1"/>
  <c r="DY263" i="16" s="1"/>
  <c r="DZ263" i="16" s="1"/>
  <c r="EA263" i="16" s="1"/>
  <c r="DV258" i="16"/>
  <c r="DX258" i="16" s="1"/>
  <c r="DY258" i="16" s="1"/>
  <c r="DZ258" i="16" s="1"/>
  <c r="EA258" i="16" s="1"/>
  <c r="DV257" i="16"/>
  <c r="DX257" i="16" s="1"/>
  <c r="DY257" i="16" s="1"/>
  <c r="DZ257" i="16" s="1"/>
  <c r="EA257" i="16" s="1"/>
  <c r="DX20" i="16"/>
  <c r="DZ20" i="16" s="1"/>
  <c r="EA20" i="16" s="1"/>
  <c r="DV114" i="16"/>
  <c r="DX114" i="16" s="1"/>
  <c r="DY114" i="16" s="1"/>
  <c r="DZ114" i="16" s="1"/>
  <c r="EA114" i="16" s="1"/>
  <c r="DZ12" i="16"/>
  <c r="EA12" i="16" s="1"/>
  <c r="DV280" i="16"/>
  <c r="DX280" i="16" s="1"/>
  <c r="DV222" i="16"/>
  <c r="DX222" i="16" s="1"/>
  <c r="DY222" i="16" s="1"/>
  <c r="DZ222" i="16" s="1"/>
  <c r="EA222" i="16" s="1"/>
  <c r="DZ39" i="16"/>
  <c r="EA39" i="16" s="1"/>
  <c r="DV110" i="16"/>
  <c r="DX110" i="16" s="1"/>
  <c r="DY110" i="16" s="1"/>
  <c r="DZ110" i="16" s="1"/>
  <c r="EA110" i="16" s="1"/>
  <c r="DV255" i="16"/>
  <c r="DX255" i="16" s="1"/>
  <c r="DY255" i="16" s="1"/>
  <c r="DZ255" i="16" s="1"/>
  <c r="EA255" i="16" s="1"/>
  <c r="DV279" i="16"/>
  <c r="DX279" i="16" s="1"/>
  <c r="DV109" i="16"/>
  <c r="DX109" i="16" s="1"/>
  <c r="DX18" i="16"/>
  <c r="DZ18" i="16" s="1"/>
  <c r="EA18" i="16" s="1"/>
  <c r="DV34" i="16"/>
  <c r="DX34" i="16" s="1"/>
  <c r="DZ34" i="16" s="1"/>
  <c r="EA34" i="16" s="1"/>
  <c r="DV214" i="16"/>
  <c r="DX214" i="16" s="1"/>
  <c r="DY214" i="16" s="1"/>
  <c r="DZ214" i="16" s="1"/>
  <c r="EA214" i="16" s="1"/>
  <c r="DV98" i="16"/>
  <c r="DX98" i="16" s="1"/>
  <c r="DY98" i="16" s="1"/>
  <c r="DZ98" i="16" s="1"/>
  <c r="EA98" i="16" s="1"/>
  <c r="DV37" i="16"/>
  <c r="DX37" i="16" s="1"/>
  <c r="DZ37" i="16" s="1"/>
  <c r="EA37" i="16" s="1"/>
  <c r="DV216" i="16"/>
  <c r="DX216" i="16" s="1"/>
  <c r="DY216" i="16" s="1"/>
  <c r="DZ216" i="16" s="1"/>
  <c r="EA216" i="16" s="1"/>
  <c r="DV99" i="16"/>
  <c r="DX99" i="16" s="1"/>
  <c r="DY99" i="16" s="1"/>
  <c r="DZ99" i="16" s="1"/>
  <c r="EA99" i="16" s="1"/>
  <c r="DV275" i="16"/>
  <c r="DX275" i="16" s="1"/>
  <c r="DY275" i="16" s="1"/>
  <c r="DZ275" i="16" s="1"/>
  <c r="EA275" i="16" s="1"/>
  <c r="DV103" i="16"/>
  <c r="DX103" i="16" s="1"/>
  <c r="DY103" i="16" s="1"/>
  <c r="DZ103" i="16" s="1"/>
  <c r="EA103" i="16" s="1"/>
  <c r="DV105" i="16"/>
  <c r="DX105" i="16" s="1"/>
  <c r="DY105" i="16" s="1"/>
  <c r="DZ105" i="16" s="1"/>
  <c r="EA105" i="16" s="1"/>
  <c r="DV227" i="16"/>
  <c r="DX227" i="16" s="1"/>
  <c r="DY227" i="16" s="1"/>
  <c r="DZ227" i="16" s="1"/>
  <c r="EA227" i="16" s="1"/>
  <c r="DV115" i="16"/>
  <c r="DX115" i="16" s="1"/>
  <c r="DY115" i="16" s="1"/>
  <c r="DZ115" i="16" s="1"/>
  <c r="EA115" i="16" s="1"/>
  <c r="DV94" i="16"/>
  <c r="DX94" i="16" s="1"/>
  <c r="DY94" i="16" s="1"/>
  <c r="DZ94" i="16" s="1"/>
  <c r="EA94" i="16" s="1"/>
  <c r="DV213" i="16"/>
  <c r="DX213" i="16" s="1"/>
  <c r="DY213" i="16" s="1"/>
  <c r="DZ213" i="16" s="1"/>
  <c r="EA213" i="16" s="1"/>
  <c r="DV228" i="16"/>
  <c r="DX228" i="16" s="1"/>
  <c r="DY228" i="16" s="1"/>
  <c r="DZ228" i="16" s="1"/>
  <c r="EA228" i="16" s="1"/>
  <c r="DX17" i="16"/>
  <c r="DZ17" i="16" s="1"/>
  <c r="EA17" i="16" s="1"/>
  <c r="DV97" i="16"/>
  <c r="DX97" i="16" s="1"/>
  <c r="DY97" i="16" s="1"/>
  <c r="DZ97" i="16" s="1"/>
  <c r="EA97" i="16" s="1"/>
  <c r="DV276" i="16"/>
  <c r="DX276" i="16" s="1"/>
  <c r="DY276" i="16" s="1"/>
  <c r="DZ276" i="16" s="1"/>
  <c r="EA276" i="16" s="1"/>
  <c r="Z14" i="16"/>
  <c r="DY51" i="16" s="1"/>
  <c r="DV225" i="16"/>
  <c r="DX225" i="16" s="1"/>
  <c r="DY225" i="16" s="1"/>
  <c r="DZ225" i="16" s="1"/>
  <c r="EA225" i="16" s="1"/>
  <c r="DV108" i="16"/>
  <c r="DX108" i="16" s="1"/>
  <c r="DY108" i="16" s="1"/>
  <c r="DZ108" i="16" s="1"/>
  <c r="EA108" i="16" s="1"/>
  <c r="DV27" i="16"/>
  <c r="DX27" i="16" s="1"/>
  <c r="DZ27" i="16" s="1"/>
  <c r="EA27" i="16" s="1"/>
  <c r="DX274" i="16"/>
  <c r="DY274" i="16" s="1"/>
  <c r="DZ274" i="16" s="1"/>
  <c r="EA274" i="16" s="1"/>
  <c r="DV22" i="16"/>
  <c r="DX22" i="16" s="1"/>
  <c r="DZ22" i="16" s="1"/>
  <c r="EA22" i="16" s="1"/>
  <c r="DV104" i="16"/>
  <c r="DX104" i="16" s="1"/>
  <c r="DY104" i="16" s="1"/>
  <c r="DZ104" i="16" s="1"/>
  <c r="EA104" i="16" s="1"/>
  <c r="DV209" i="16"/>
  <c r="DX209" i="16" s="1"/>
  <c r="DY209" i="16" s="1"/>
  <c r="DZ209" i="16" s="1"/>
  <c r="EA209" i="16" s="1"/>
  <c r="DV268" i="16"/>
  <c r="DX268" i="16" s="1"/>
  <c r="DV208" i="16"/>
  <c r="DX208" i="16" s="1"/>
  <c r="DY208" i="16" s="1"/>
  <c r="DZ208" i="16" s="1"/>
  <c r="EA208" i="16" s="1"/>
  <c r="DX35" i="16"/>
  <c r="DZ35" i="16" s="1"/>
  <c r="EA35" i="16" s="1"/>
  <c r="DV270" i="16"/>
  <c r="DX270" i="16" s="1"/>
  <c r="DY270" i="16" s="1"/>
  <c r="DZ270" i="16" s="1"/>
  <c r="EA270" i="16" s="1"/>
  <c r="DV210" i="16"/>
  <c r="DX210" i="16" s="1"/>
  <c r="DY210" i="16" s="1"/>
  <c r="DZ210" i="16" s="1"/>
  <c r="EA210" i="16" s="1"/>
  <c r="DX19" i="16"/>
  <c r="DZ19" i="16" s="1"/>
  <c r="EA19" i="16" s="1"/>
  <c r="DV26" i="16"/>
  <c r="DX26" i="16" s="1"/>
  <c r="DZ26" i="16" s="1"/>
  <c r="EA26" i="16" s="1"/>
  <c r="DX16" i="16"/>
  <c r="DZ16" i="16" s="1"/>
  <c r="EA16" i="16" s="1"/>
  <c r="DV220" i="16"/>
  <c r="DX220" i="16" s="1"/>
  <c r="DY220" i="16" s="1"/>
  <c r="DZ220" i="16" s="1"/>
  <c r="EA220" i="16" s="1"/>
  <c r="DV269" i="16"/>
  <c r="DX269" i="16" s="1"/>
  <c r="DY269" i="16" s="1"/>
  <c r="DZ269" i="16" s="1"/>
  <c r="EA269" i="16" s="1"/>
  <c r="DY41" i="16"/>
  <c r="DX31" i="16"/>
  <c r="DZ31" i="16" s="1"/>
  <c r="EA31" i="16" s="1"/>
  <c r="DV36" i="16"/>
  <c r="DX36" i="16" s="1"/>
  <c r="DZ36" i="16" s="1"/>
  <c r="EA36" i="16" s="1"/>
  <c r="DX15" i="16"/>
  <c r="DZ15" i="16" s="1"/>
  <c r="EA15" i="16" s="1"/>
  <c r="DU41" i="16"/>
  <c r="DU47" i="16" s="1"/>
  <c r="DV226" i="16"/>
  <c r="DX226" i="16" s="1"/>
  <c r="DV118" i="16"/>
  <c r="DX118" i="16" s="1"/>
  <c r="DY118" i="16" s="1"/>
  <c r="DZ118" i="16" s="1"/>
  <c r="EA118" i="16" s="1"/>
  <c r="EA176" i="16" s="1"/>
  <c r="DV28" i="16"/>
  <c r="DX28" i="16" s="1"/>
  <c r="DZ28" i="16" s="1"/>
  <c r="EA28" i="16" s="1"/>
  <c r="EA67" i="16"/>
  <c r="DV264" i="16"/>
  <c r="DX264" i="16" s="1"/>
  <c r="DY264" i="16" s="1"/>
  <c r="DZ264" i="16" s="1"/>
  <c r="EA264" i="16" s="1"/>
  <c r="DZ69" i="16"/>
  <c r="EA69" i="16" s="1"/>
  <c r="DV273" i="16"/>
  <c r="DX273" i="16" s="1"/>
  <c r="DY273" i="16" s="1"/>
  <c r="DZ273" i="16" s="1"/>
  <c r="EA273" i="16" s="1"/>
  <c r="DV261" i="16"/>
  <c r="DX261" i="16" s="1"/>
  <c r="DY261" i="16" s="1"/>
  <c r="DZ261" i="16" s="1"/>
  <c r="EA261" i="16" s="1"/>
  <c r="DV219" i="16"/>
  <c r="DX219" i="16" s="1"/>
  <c r="DY219" i="16" s="1"/>
  <c r="DZ219" i="16" s="1"/>
  <c r="EA219" i="16" s="1"/>
  <c r="DZ11" i="16"/>
  <c r="EA11" i="16" s="1"/>
  <c r="DV262" i="16"/>
  <c r="DX262" i="16" s="1"/>
  <c r="DX32" i="16"/>
  <c r="DZ32" i="16" s="1"/>
  <c r="EA32" i="16" s="1"/>
  <c r="DS47" i="16"/>
  <c r="DY207" i="16"/>
  <c r="DZ207" i="16" s="1"/>
  <c r="EA207" i="16" s="1"/>
  <c r="DT41" i="16"/>
  <c r="DY61" i="16"/>
  <c r="DV252" i="16"/>
  <c r="DX252" i="16" s="1"/>
  <c r="DV251" i="16"/>
  <c r="DX251" i="16" s="1"/>
  <c r="DV250" i="16"/>
  <c r="DX250" i="16" s="1"/>
  <c r="DV249" i="16"/>
  <c r="DV33" i="16"/>
  <c r="DX33" i="16" s="1"/>
  <c r="DZ33" i="16" s="1"/>
  <c r="EA33" i="16" s="1"/>
  <c r="DV234" i="16"/>
  <c r="DX234" i="16" s="1"/>
  <c r="DV233" i="16"/>
  <c r="DX233" i="16" s="1"/>
  <c r="DV232" i="16"/>
  <c r="DX232" i="16" s="1"/>
  <c r="DV231" i="16"/>
  <c r="DX231" i="16" s="1"/>
  <c r="DV30" i="16"/>
  <c r="DX30" i="16" s="1"/>
  <c r="DZ30" i="16" s="1"/>
  <c r="EA30" i="16" s="1"/>
  <c r="EG41" i="16"/>
  <c r="DV198" i="16"/>
  <c r="DX198" i="16" s="1"/>
  <c r="DV24" i="16"/>
  <c r="DX24" i="16" s="1"/>
  <c r="DZ24" i="16" s="1"/>
  <c r="EA24" i="16" s="1"/>
  <c r="DX38" i="16"/>
  <c r="DZ38" i="16" s="1"/>
  <c r="EA38" i="16" s="1"/>
  <c r="DX267" i="16"/>
  <c r="DV203" i="16"/>
  <c r="DX203" i="16" s="1"/>
  <c r="DV201" i="16"/>
  <c r="DX201" i="16" s="1"/>
  <c r="DV202" i="16"/>
  <c r="DX202" i="16" s="1"/>
  <c r="DV204" i="16"/>
  <c r="DX204" i="16" s="1"/>
  <c r="DV25" i="16"/>
  <c r="DX25" i="16" s="1"/>
  <c r="DZ25" i="16" s="1"/>
  <c r="EA25" i="16" s="1"/>
  <c r="DN53" i="16"/>
  <c r="DT284" i="16"/>
  <c r="AA35" i="16"/>
  <c r="Z26" i="16"/>
  <c r="Z25" i="16"/>
  <c r="Z27" i="16"/>
  <c r="Z24" i="16"/>
  <c r="DY45" i="16" s="1"/>
  <c r="DX72" i="16"/>
  <c r="DU73" i="16"/>
  <c r="DV74" i="16"/>
  <c r="DX74" i="16" s="1"/>
  <c r="DV73" i="16"/>
  <c r="DV14" i="16"/>
  <c r="DX13" i="16"/>
  <c r="DZ13" i="16" s="1"/>
  <c r="EA13" i="16" s="1"/>
  <c r="DW53" i="16"/>
  <c r="DV192" i="16"/>
  <c r="DX192" i="16" s="1"/>
  <c r="DV191" i="16"/>
  <c r="DX191" i="16" s="1"/>
  <c r="DV190" i="16"/>
  <c r="DX190" i="16" s="1"/>
  <c r="DV188" i="16"/>
  <c r="DX188" i="16" s="1"/>
  <c r="DV23" i="16"/>
  <c r="DX23" i="16" s="1"/>
  <c r="DZ23" i="16" s="1"/>
  <c r="EA23" i="16" s="1"/>
  <c r="DR53" i="16"/>
  <c r="DY256" i="16"/>
  <c r="DZ256" i="16" s="1"/>
  <c r="EA256" i="16" s="1"/>
  <c r="DP47" i="16"/>
  <c r="DY221" i="16"/>
  <c r="DZ221" i="16" s="1"/>
  <c r="EA221" i="16" s="1"/>
  <c r="DY215" i="16"/>
  <c r="DZ215" i="16" s="1"/>
  <c r="EA215" i="16" s="1"/>
  <c r="DY239" i="16"/>
  <c r="DZ239" i="16" s="1"/>
  <c r="EA239" i="16" s="1"/>
  <c r="DX29" i="16"/>
  <c r="DZ29" i="16" s="1"/>
  <c r="EA29" i="16" s="1"/>
  <c r="DY179" i="16" l="1"/>
  <c r="DZ179" i="16"/>
  <c r="EA179" i="16" s="1"/>
  <c r="DY178" i="16"/>
  <c r="DZ178" i="16" s="1"/>
  <c r="EA178" i="16" s="1"/>
  <c r="DY181" i="16"/>
  <c r="DZ181" i="16" s="1"/>
  <c r="EA181" i="16" s="1"/>
  <c r="DY180" i="16"/>
  <c r="DZ180" i="16"/>
  <c r="EA180" i="16" s="1"/>
  <c r="DY184" i="16"/>
  <c r="DZ184" i="16" s="1"/>
  <c r="EA184" i="16" s="1"/>
  <c r="DY185" i="16"/>
  <c r="DZ185" i="16"/>
  <c r="EA185" i="16" s="1"/>
  <c r="DY109" i="16"/>
  <c r="DZ109" i="16" s="1"/>
  <c r="EA109" i="16" s="1"/>
  <c r="ED19" i="16"/>
  <c r="DY268" i="16"/>
  <c r="DZ268" i="16"/>
  <c r="EA268" i="16" s="1"/>
  <c r="DY47" i="16"/>
  <c r="DY53" i="16" s="1"/>
  <c r="EA70" i="16"/>
  <c r="EA259" i="16"/>
  <c r="DY262" i="16"/>
  <c r="DZ262" i="16" s="1"/>
  <c r="EA262" i="16" s="1"/>
  <c r="EA100" i="16"/>
  <c r="EA211" i="16"/>
  <c r="DZ244" i="16"/>
  <c r="EA244" i="16" s="1"/>
  <c r="EA277" i="16"/>
  <c r="DV41" i="16"/>
  <c r="DV47" i="16" s="1"/>
  <c r="EA106" i="16"/>
  <c r="EA241" i="16"/>
  <c r="DY188" i="16"/>
  <c r="DZ188" i="16" s="1"/>
  <c r="EA188" i="16" s="1"/>
  <c r="DY201" i="16"/>
  <c r="DZ201" i="16" s="1"/>
  <c r="EA201" i="16" s="1"/>
  <c r="DY113" i="16"/>
  <c r="DZ113" i="16" s="1"/>
  <c r="EA113" i="16" s="1"/>
  <c r="DY280" i="16"/>
  <c r="DZ280" i="16" s="1"/>
  <c r="EA280" i="16" s="1"/>
  <c r="DY203" i="16"/>
  <c r="DZ203" i="16" s="1"/>
  <c r="EA203" i="16" s="1"/>
  <c r="DY252" i="16"/>
  <c r="DZ252" i="16" s="1"/>
  <c r="EA252" i="16" s="1"/>
  <c r="DZ291" i="16"/>
  <c r="DV294" i="16" s="1"/>
  <c r="EA77" i="16"/>
  <c r="DY190" i="16"/>
  <c r="DZ190" i="16" s="1"/>
  <c r="EA190" i="16" s="1"/>
  <c r="DY231" i="16"/>
  <c r="DZ231" i="16" s="1"/>
  <c r="EA231" i="16" s="1"/>
  <c r="DY234" i="16"/>
  <c r="DZ234" i="16" s="1"/>
  <c r="EA234" i="16" s="1"/>
  <c r="DY191" i="16"/>
  <c r="DZ191" i="16" s="1"/>
  <c r="EA191" i="16" s="1"/>
  <c r="DZ61" i="16"/>
  <c r="DU53" i="16"/>
  <c r="EA223" i="16"/>
  <c r="DV284" i="16"/>
  <c r="DY204" i="16"/>
  <c r="DZ204" i="16" s="1"/>
  <c r="EA204" i="16" s="1"/>
  <c r="DY192" i="16"/>
  <c r="DZ192" i="16" s="1"/>
  <c r="EA192" i="16" s="1"/>
  <c r="DP53" i="16"/>
  <c r="DY267" i="16"/>
  <c r="DZ267" i="16" s="1"/>
  <c r="EA267" i="16" s="1"/>
  <c r="DY74" i="16"/>
  <c r="DZ74" i="16" s="1"/>
  <c r="EA74" i="16" s="1"/>
  <c r="EA217" i="16"/>
  <c r="DY198" i="16"/>
  <c r="DZ198" i="16" s="1"/>
  <c r="EA198" i="16" s="1"/>
  <c r="DX249" i="16"/>
  <c r="DT47" i="16"/>
  <c r="DY226" i="16"/>
  <c r="DZ226" i="16" s="1"/>
  <c r="EA226" i="16" s="1"/>
  <c r="DX73" i="16"/>
  <c r="DU284" i="16"/>
  <c r="DY202" i="16"/>
  <c r="DZ202" i="16" s="1"/>
  <c r="EA202" i="16" s="1"/>
  <c r="DX14" i="16"/>
  <c r="DY250" i="16"/>
  <c r="DZ250" i="16" s="1"/>
  <c r="EA250" i="16" s="1"/>
  <c r="DY251" i="16"/>
  <c r="DZ251" i="16" s="1"/>
  <c r="EA251" i="16" s="1"/>
  <c r="DS53" i="16"/>
  <c r="DY72" i="16"/>
  <c r="DZ72" i="16" s="1"/>
  <c r="EA72" i="16" s="1"/>
  <c r="DY279" i="16"/>
  <c r="DZ279" i="16" s="1"/>
  <c r="EA279" i="16" s="1"/>
  <c r="DY232" i="16"/>
  <c r="DZ232" i="16" s="1"/>
  <c r="EA232" i="16" s="1"/>
  <c r="DY233" i="16"/>
  <c r="DZ233" i="16" s="1"/>
  <c r="EA233" i="16" s="1"/>
  <c r="AA27" i="16"/>
  <c r="EA186" i="16" l="1"/>
  <c r="EA182" i="16"/>
  <c r="EA111" i="16"/>
  <c r="EA229" i="16"/>
  <c r="EA265" i="16"/>
  <c r="EA247" i="16"/>
  <c r="EA271" i="16"/>
  <c r="EA95" i="16"/>
  <c r="EA281" i="16"/>
  <c r="EA116" i="16"/>
  <c r="EA205" i="16"/>
  <c r="EA193" i="16"/>
  <c r="DZ14" i="16"/>
  <c r="DX41" i="16"/>
  <c r="EA61" i="16"/>
  <c r="DV53" i="16"/>
  <c r="DY249" i="16"/>
  <c r="DZ249" i="16" s="1"/>
  <c r="EA249" i="16" s="1"/>
  <c r="DY73" i="16"/>
  <c r="DX284" i="16"/>
  <c r="EA199" i="16"/>
  <c r="EA235" i="16"/>
  <c r="DT53" i="16"/>
  <c r="EA253" i="16" l="1"/>
  <c r="DY284" i="16"/>
  <c r="DZ73" i="16"/>
  <c r="EA73" i="16" s="1"/>
  <c r="EA14" i="16"/>
  <c r="EA41" i="16" s="1"/>
  <c r="DZ41" i="16"/>
  <c r="DX43" i="16" s="1"/>
  <c r="EA62" i="16"/>
  <c r="DX47" i="16"/>
  <c r="EA75" i="16" l="1"/>
  <c r="EA284" i="16" s="1"/>
  <c r="DZ284" i="16"/>
  <c r="DV286" i="16" s="1"/>
  <c r="DX53" i="16"/>
  <c r="DZ47" i="16"/>
  <c r="DZ43" i="16"/>
  <c r="DQ43" i="16"/>
  <c r="DW43" i="16"/>
  <c r="DR43" i="16"/>
  <c r="DN43" i="16"/>
  <c r="DO43" i="16"/>
  <c r="DS43" i="16"/>
  <c r="DP43" i="16"/>
  <c r="DY43" i="16"/>
  <c r="DU43" i="16"/>
  <c r="DT43" i="16"/>
  <c r="DV43" i="16"/>
  <c r="EA290" i="16" l="1"/>
  <c r="EC54" i="16"/>
  <c r="DT286" i="16"/>
  <c r="DW286" i="16"/>
  <c r="DX286" i="16"/>
  <c r="DZ286" i="16"/>
  <c r="EC287" i="16"/>
  <c r="DY286" i="16"/>
  <c r="DU286" i="16"/>
  <c r="DZ49" i="16"/>
  <c r="EA47" i="16"/>
  <c r="DZ53" i="16"/>
  <c r="DX55" i="16" s="1"/>
  <c r="DQ49" i="16"/>
  <c r="DO49" i="16"/>
  <c r="DW49" i="16"/>
  <c r="DR49" i="16"/>
  <c r="DN49" i="16"/>
  <c r="DU49" i="16"/>
  <c r="DY49" i="16"/>
  <c r="DP49" i="16"/>
  <c r="DS49" i="16"/>
  <c r="DT49" i="16"/>
  <c r="DV49" i="16"/>
  <c r="DX49" i="16"/>
  <c r="EB184" i="16" l="1"/>
  <c r="EC184" i="16" s="1"/>
  <c r="EB181" i="16"/>
  <c r="EC181" i="16" s="1"/>
  <c r="EB185" i="16"/>
  <c r="EC185" i="16" s="1"/>
  <c r="EB178" i="16"/>
  <c r="EC178" i="16" s="1"/>
  <c r="EB180" i="16"/>
  <c r="EC180" i="16" s="1"/>
  <c r="EB179" i="16"/>
  <c r="EC179" i="16" s="1"/>
  <c r="EB64" i="16"/>
  <c r="EC64" i="16" s="1"/>
  <c r="EB61" i="16"/>
  <c r="EB65" i="16"/>
  <c r="EC65" i="16" s="1"/>
  <c r="EB66" i="16"/>
  <c r="EC66" i="16" s="1"/>
  <c r="EB246" i="16"/>
  <c r="EC246" i="16" s="1"/>
  <c r="EB255" i="16"/>
  <c r="EC255" i="16" s="1"/>
  <c r="EB227" i="16"/>
  <c r="EC227" i="16" s="1"/>
  <c r="EB256" i="16"/>
  <c r="EC256" i="16" s="1"/>
  <c r="EB258" i="16"/>
  <c r="EC258" i="16" s="1"/>
  <c r="EB207" i="16"/>
  <c r="EC207" i="16" s="1"/>
  <c r="EB213" i="16"/>
  <c r="EC213" i="16" s="1"/>
  <c r="EB216" i="16"/>
  <c r="EC216" i="16" s="1"/>
  <c r="EB214" i="16"/>
  <c r="EC214" i="16" s="1"/>
  <c r="EB263" i="16"/>
  <c r="EC263" i="16" s="1"/>
  <c r="EB97" i="16"/>
  <c r="EC97" i="16" s="1"/>
  <c r="EB215" i="16"/>
  <c r="EC215" i="16" s="1"/>
  <c r="EB104" i="16"/>
  <c r="EC104" i="16" s="1"/>
  <c r="EB240" i="16"/>
  <c r="EC240" i="16" s="1"/>
  <c r="EB257" i="16"/>
  <c r="EC257" i="16" s="1"/>
  <c r="EB114" i="16"/>
  <c r="EC114" i="16" s="1"/>
  <c r="EB221" i="16"/>
  <c r="EC221" i="16" s="1"/>
  <c r="EB225" i="16"/>
  <c r="EC225" i="16" s="1"/>
  <c r="EB103" i="16"/>
  <c r="EC103" i="16" s="1"/>
  <c r="EB118" i="16"/>
  <c r="EC118" i="16" s="1"/>
  <c r="EB237" i="16"/>
  <c r="EC237" i="16" s="1"/>
  <c r="EB270" i="16"/>
  <c r="EC270" i="16" s="1"/>
  <c r="EB209" i="16"/>
  <c r="EC209" i="16" s="1"/>
  <c r="EB228" i="16"/>
  <c r="EC228" i="16" s="1"/>
  <c r="EB108" i="16"/>
  <c r="EC108" i="16" s="1"/>
  <c r="EB210" i="16"/>
  <c r="EC210" i="16" s="1"/>
  <c r="EB269" i="16"/>
  <c r="EC269" i="16" s="1"/>
  <c r="EB115" i="16"/>
  <c r="EC115" i="16" s="1"/>
  <c r="EB268" i="16"/>
  <c r="EC268" i="16" s="1"/>
  <c r="EB239" i="16"/>
  <c r="EC239" i="16" s="1"/>
  <c r="EB94" i="16"/>
  <c r="EC94" i="16" s="1"/>
  <c r="EB243" i="16"/>
  <c r="EC243" i="16" s="1"/>
  <c r="EB105" i="16"/>
  <c r="EC105" i="16" s="1"/>
  <c r="EB275" i="16"/>
  <c r="EC275" i="16" s="1"/>
  <c r="EB276" i="16"/>
  <c r="EC276" i="16" s="1"/>
  <c r="EB219" i="16"/>
  <c r="EC219" i="16" s="1"/>
  <c r="EB274" i="16"/>
  <c r="EC274" i="16" s="1"/>
  <c r="EB98" i="16"/>
  <c r="EC98" i="16" s="1"/>
  <c r="EB78" i="16"/>
  <c r="EC78" i="16" s="1"/>
  <c r="EB261" i="16"/>
  <c r="EC261" i="16" s="1"/>
  <c r="EB222" i="16"/>
  <c r="EC222" i="16" s="1"/>
  <c r="EB264" i="16"/>
  <c r="EC264" i="16" s="1"/>
  <c r="EB99" i="16"/>
  <c r="EC99" i="16" s="1"/>
  <c r="EB238" i="16"/>
  <c r="EC238" i="16" s="1"/>
  <c r="EB220" i="16"/>
  <c r="EC220" i="16" s="1"/>
  <c r="EB273" i="16"/>
  <c r="EC273" i="16" s="1"/>
  <c r="EB245" i="16"/>
  <c r="EC245" i="16" s="1"/>
  <c r="EB110" i="16"/>
  <c r="EC110" i="16" s="1"/>
  <c r="EB208" i="16"/>
  <c r="EC208" i="16" s="1"/>
  <c r="EB69" i="16"/>
  <c r="EC69" i="16" s="1"/>
  <c r="EB109" i="16"/>
  <c r="EC109" i="16" s="1"/>
  <c r="EB251" i="16"/>
  <c r="EC251" i="16" s="1"/>
  <c r="EB252" i="16"/>
  <c r="EC252" i="16" s="1"/>
  <c r="EB279" i="16"/>
  <c r="EC279" i="16" s="1"/>
  <c r="EB192" i="16"/>
  <c r="EC192" i="16" s="1"/>
  <c r="EB250" i="16"/>
  <c r="EC250" i="16" s="1"/>
  <c r="EB190" i="16"/>
  <c r="EC190" i="16" s="1"/>
  <c r="EB77" i="16"/>
  <c r="EC77" i="16" s="1"/>
  <c r="EB113" i="16"/>
  <c r="EC113" i="16" s="1"/>
  <c r="EB198" i="16"/>
  <c r="EC198" i="16" s="1"/>
  <c r="EB234" i="16"/>
  <c r="EC234" i="16" s="1"/>
  <c r="EB204" i="16"/>
  <c r="EC204" i="16" s="1"/>
  <c r="EB233" i="16"/>
  <c r="EC233" i="16" s="1"/>
  <c r="EB191" i="16"/>
  <c r="EC191" i="16" s="1"/>
  <c r="EB262" i="16"/>
  <c r="EC262" i="16" s="1"/>
  <c r="EB267" i="16"/>
  <c r="EC267" i="16" s="1"/>
  <c r="EB203" i="16"/>
  <c r="EC203" i="16" s="1"/>
  <c r="EB74" i="16"/>
  <c r="EC74" i="16" s="1"/>
  <c r="EB188" i="16"/>
  <c r="EC188" i="16" s="1"/>
  <c r="EB226" i="16"/>
  <c r="EC226" i="16" s="1"/>
  <c r="EB280" i="16"/>
  <c r="EC280" i="16" s="1"/>
  <c r="EB202" i="16"/>
  <c r="EC202" i="16" s="1"/>
  <c r="EB72" i="16"/>
  <c r="EC72" i="16" s="1"/>
  <c r="EB231" i="16"/>
  <c r="EC231" i="16" s="1"/>
  <c r="EB201" i="16"/>
  <c r="EC201" i="16" s="1"/>
  <c r="EB244" i="16"/>
  <c r="EC244" i="16" s="1"/>
  <c r="EB232" i="16"/>
  <c r="EC232" i="16" s="1"/>
  <c r="EB249" i="16"/>
  <c r="EC249" i="16" s="1"/>
  <c r="EB73" i="16"/>
  <c r="EC73" i="16" s="1"/>
  <c r="ED55" i="16"/>
  <c r="ED56" i="16" s="1"/>
  <c r="DZ55" i="16"/>
  <c r="EA53" i="16"/>
  <c r="EB290" i="16" s="1"/>
  <c r="DQ55" i="16"/>
  <c r="DO55" i="16"/>
  <c r="DN55" i="16"/>
  <c r="DR55" i="16"/>
  <c r="DW55" i="16"/>
  <c r="DP55" i="16"/>
  <c r="DY55" i="16"/>
  <c r="DU55" i="16"/>
  <c r="DS55" i="16"/>
  <c r="DT55" i="16"/>
  <c r="DV55" i="16"/>
  <c r="EC61" i="16" l="1"/>
  <c r="EC284" i="16" s="1"/>
  <c r="EB284" i="16"/>
</calcChain>
</file>

<file path=xl/sharedStrings.xml><?xml version="1.0" encoding="utf-8"?>
<sst xmlns="http://schemas.openxmlformats.org/spreadsheetml/2006/main" count="2388" uniqueCount="594">
  <si>
    <t>AREA STATEMENT OF WTC CHENNAI</t>
  </si>
  <si>
    <t>COMMON AREA</t>
  </si>
  <si>
    <t>AREA</t>
  </si>
  <si>
    <t>STAIRCASE 10</t>
  </si>
  <si>
    <t>DUCTS</t>
  </si>
  <si>
    <t>LUMBER ROOM</t>
  </si>
  <si>
    <t>STAIRCASE 03</t>
  </si>
  <si>
    <t>STAIRCASE 01</t>
  </si>
  <si>
    <t xml:space="preserve">SERVICE LIFT 06 </t>
  </si>
  <si>
    <t>STAIRCASE 11</t>
  </si>
  <si>
    <t>SERVICE LIFT 07</t>
  </si>
  <si>
    <t>STAIRCASE 07</t>
  </si>
  <si>
    <t>TOTAL</t>
  </si>
  <si>
    <t>SLAB AREA</t>
  </si>
  <si>
    <t>COMMON AREA DEDUCTIONS</t>
  </si>
  <si>
    <t>SERVICE LIFT 05</t>
  </si>
  <si>
    <t>PUMP ROOM</t>
  </si>
  <si>
    <t>SOLID WASTE</t>
  </si>
  <si>
    <t>FAN ROOM</t>
  </si>
  <si>
    <t>GROUND FLOOR</t>
  </si>
  <si>
    <t>SEZ OFFICE</t>
  </si>
  <si>
    <t>FUEL ROOM</t>
  </si>
  <si>
    <t>LOADING DOCK</t>
  </si>
  <si>
    <t>CARE TAKER BOOTH</t>
  </si>
  <si>
    <t>AHU 1</t>
  </si>
  <si>
    <t>SERVICE LIFT</t>
  </si>
  <si>
    <t>STAIRCASE 06</t>
  </si>
  <si>
    <t>CHILLER PLANT</t>
  </si>
  <si>
    <t>RESTAURANT 1</t>
  </si>
  <si>
    <t>F &amp; B RETAIL 1</t>
  </si>
  <si>
    <t>F &amp; B RETAIL 2</t>
  </si>
  <si>
    <t>F &amp; B RETAIL 3</t>
  </si>
  <si>
    <t>F &amp; B RETAIL 4</t>
  </si>
  <si>
    <t>RESTAURANT 2</t>
  </si>
  <si>
    <t>F &amp; B RETAIL 5</t>
  </si>
  <si>
    <t>AHU 3</t>
  </si>
  <si>
    <t>ELECT 1</t>
  </si>
  <si>
    <t>ELECT 2</t>
  </si>
  <si>
    <t>AHU 2</t>
  </si>
  <si>
    <t>STAIRCASE 9</t>
  </si>
  <si>
    <t>RAMP</t>
  </si>
  <si>
    <t>SECURITY OFFICE</t>
  </si>
  <si>
    <t>REC &amp; PUR OFFICE</t>
  </si>
  <si>
    <t>LOADING DOCK HOTEL</t>
  </si>
  <si>
    <t>GARBAGE AREA</t>
  </si>
  <si>
    <t>STAIRCASE 8</t>
  </si>
  <si>
    <t>TOWER 1</t>
  </si>
  <si>
    <t>RESTAURANT</t>
  </si>
  <si>
    <t>COMMON SERVICES</t>
  </si>
  <si>
    <t>HOTEL</t>
  </si>
  <si>
    <t>TOWER 2</t>
  </si>
  <si>
    <t>BASEMENT 2 FLOOR (MID BASEMENT)</t>
  </si>
  <si>
    <t>CAFETERIA</t>
  </si>
  <si>
    <t>FIRST FLOOR</t>
  </si>
  <si>
    <t>CAFÉ BOH</t>
  </si>
  <si>
    <t>ELECT. PANEL ROOM</t>
  </si>
  <si>
    <t>KITCHEN 2</t>
  </si>
  <si>
    <t>SERVICE LIFT 5, STAIRCASE</t>
  </si>
  <si>
    <t>KITCHEN 1</t>
  </si>
  <si>
    <t>F &amp; B BAR</t>
  </si>
  <si>
    <t>F &amp; B 1</t>
  </si>
  <si>
    <t>LOBBY</t>
  </si>
  <si>
    <t>LIFT, STAIRCASE</t>
  </si>
  <si>
    <t>SERVICE LIFT LOBBY</t>
  </si>
  <si>
    <t>CORRIDOR</t>
  </si>
  <si>
    <t>BASEMENT 3 FLOOR (LOWER BASEMENT)</t>
  </si>
  <si>
    <t>BASEMENT 1 FLOOR (UPPER BASEMENT)</t>
  </si>
  <si>
    <t>THIRD FLOOR</t>
  </si>
  <si>
    <t>CARPET AREA</t>
  </si>
  <si>
    <t>HIGH RISE LIFTS &amp; LIFT LOBBY</t>
  </si>
  <si>
    <t>MID RISE LIFTS &amp; LIFT LOBBY</t>
  </si>
  <si>
    <t>LOW RISE LIFTS &amp; LIFT LOBBY</t>
  </si>
  <si>
    <t>L.TOILET</t>
  </si>
  <si>
    <t>G.TOILET</t>
  </si>
  <si>
    <t>H.TOILET</t>
  </si>
  <si>
    <t>ROOM-01</t>
  </si>
  <si>
    <t>ROOM-02</t>
  </si>
  <si>
    <t>ROOM-03</t>
  </si>
  <si>
    <t>ROOM-04</t>
  </si>
  <si>
    <t>ROOM-05</t>
  </si>
  <si>
    <t>ROOM-06</t>
  </si>
  <si>
    <t>ROOM-07</t>
  </si>
  <si>
    <t>ROOM-08</t>
  </si>
  <si>
    <t>ROOM-09</t>
  </si>
  <si>
    <t>ROOM-10</t>
  </si>
  <si>
    <t>ROOM-11</t>
  </si>
  <si>
    <t>STUDIO ROOM</t>
  </si>
  <si>
    <t>ROOM-12</t>
  </si>
  <si>
    <t>ROOM-13</t>
  </si>
  <si>
    <t>ROOM-14</t>
  </si>
  <si>
    <t>REFUGE TERRACE</t>
  </si>
  <si>
    <t>SERVICE LIFT &amp; LOBBY</t>
  </si>
  <si>
    <t xml:space="preserve">ACTUAL AREA STATEMENT BASED ON GFC DRAWINGS </t>
  </si>
  <si>
    <t xml:space="preserve"> UNIT CARPET AREA (SQM) (AS PER RERA ACT - INCLUDING INTERNAL WALL &amp; EXCLUDING  EXTERNAL WALL)</t>
  </si>
  <si>
    <t>UNIT BUILT - UP AREA (SQM)</t>
  </si>
  <si>
    <t>SL.NO</t>
  </si>
  <si>
    <t>FLOORS</t>
  </si>
  <si>
    <t>OFFICE CARPET AREA (SQM)</t>
  </si>
  <si>
    <t>TOILET CARPET AREA (SQM)</t>
  </si>
  <si>
    <t>ELECTRICAL ROOM CARPET AREA (SQM)</t>
  </si>
  <si>
    <t>STORE ROOM CARPET AREA (SQM)</t>
  </si>
  <si>
    <t>AHU ROOM CARPET AREA (SQM)</t>
  </si>
  <si>
    <t>TOTAL OFFICE CARPET AREA (SQM)</t>
  </si>
  <si>
    <t>OFFICE AREA (SQM)</t>
  </si>
  <si>
    <t>TOILET AREA (SQM)</t>
  </si>
  <si>
    <t>ELECTRICAL ROOM (SQM)</t>
  </si>
  <si>
    <t>AHU ROOM  (SQM)</t>
  </si>
  <si>
    <t>TOTAL OFFICE AREA (SQM)</t>
  </si>
  <si>
    <t>COMMON AREA (SQM)</t>
  </si>
  <si>
    <t>S B A (SQM)</t>
  </si>
  <si>
    <t>S B A (SFT)</t>
  </si>
  <si>
    <t>PARKING &amp; DRIVEWAY AREA (SQM)</t>
  </si>
  <si>
    <t>REMARKS</t>
  </si>
  <si>
    <t>A</t>
  </si>
  <si>
    <t>B</t>
  </si>
  <si>
    <t>C</t>
  </si>
  <si>
    <t>D</t>
  </si>
  <si>
    <t>E</t>
  </si>
  <si>
    <t>F = A + B + C + D + E</t>
  </si>
  <si>
    <t>I</t>
  </si>
  <si>
    <t>LOWER BASEMENT</t>
  </si>
  <si>
    <t>MIDDLE BASEMENT</t>
  </si>
  <si>
    <t>UPPER BASEMENT</t>
  </si>
  <si>
    <t>METER ROOM</t>
  </si>
  <si>
    <t>AHU ROOM</t>
  </si>
  <si>
    <t xml:space="preserve"> STAIRCASE 2</t>
  </si>
  <si>
    <t>SERVICE CORRIDOR</t>
  </si>
  <si>
    <t xml:space="preserve">STAIRCASE 08 </t>
  </si>
  <si>
    <t>SERV. LIFT 1 &amp; 2 &amp; LOBBY</t>
  </si>
  <si>
    <t>STAIRCASE  4</t>
  </si>
  <si>
    <t>STAIRCASE 05</t>
  </si>
  <si>
    <t>SERVICE LIFT04 &amp; 05, LOBBY</t>
  </si>
  <si>
    <t>STAIRCASE 6</t>
  </si>
  <si>
    <t>STAIRCASE 7</t>
  </si>
  <si>
    <t>STAIRCASE 09</t>
  </si>
  <si>
    <t xml:space="preserve">STAIRCASE 2 </t>
  </si>
  <si>
    <t xml:space="preserve">R LIFT &amp; LOBBY </t>
  </si>
  <si>
    <t>SERVICE LIFT-05 &amp; LOBBY</t>
  </si>
  <si>
    <t>LOADING DOCK CAFFETERIA</t>
  </si>
  <si>
    <t>HOTEL RECEPTION+LIFT LOBBY</t>
  </si>
  <si>
    <t>HOTEL LIFTS</t>
  </si>
  <si>
    <t>LIFT -01 &amp; 02 + LOBBY</t>
  </si>
  <si>
    <t>STAIRCASE NEAR AHU ROOM</t>
  </si>
  <si>
    <t>ELECTRICAL ROOM</t>
  </si>
  <si>
    <t>STAIRCASE-04</t>
  </si>
  <si>
    <t>R.LIFT1,2,3 &amp; LIFT LOBBY</t>
  </si>
  <si>
    <t>SERVICE LIFT 04 &amp; 05</t>
  </si>
  <si>
    <t>JANITOR</t>
  </si>
  <si>
    <t>LUMBER ROOM(ORGANIC WASTE CONVERTOR)</t>
  </si>
  <si>
    <t>A1 LOBBY + CORRIDOR</t>
  </si>
  <si>
    <t>2M. WIDE CORRIDOR</t>
  </si>
  <si>
    <t>TOWER -01</t>
  </si>
  <si>
    <t>TOWER -02</t>
  </si>
  <si>
    <t>SERVICE LIFT 06 + LOBBY</t>
  </si>
  <si>
    <t>CAFFETERIA</t>
  </si>
  <si>
    <t>FAR AREA AS PER SANCTION</t>
  </si>
  <si>
    <t>PANTRY FOR CAFFETERIA</t>
  </si>
  <si>
    <t>SERVICE LIFT -06 + LOBBY</t>
  </si>
  <si>
    <t>FIRST FLOOR LEVEL</t>
  </si>
  <si>
    <t>MANAGRE OFFICE</t>
  </si>
  <si>
    <t>KITCHEN &amp; LOCKERS</t>
  </si>
  <si>
    <t>OFFICE-302</t>
  </si>
  <si>
    <t>OFFICE-303</t>
  </si>
  <si>
    <t>STP-01 (TOWER-2 &amp; 3)</t>
  </si>
  <si>
    <t>STP-02 (TOWER-1)</t>
  </si>
  <si>
    <t>SHARED B/W TOWER-02,03 &amp; 04</t>
  </si>
  <si>
    <t xml:space="preserve">DG ROOM </t>
  </si>
  <si>
    <t>TOWER -03</t>
  </si>
  <si>
    <t>TOWER -04</t>
  </si>
  <si>
    <t>CAFFETERIA SHARED BETWEEN TOWER -01 &amp; 02</t>
  </si>
  <si>
    <t>GROUND FLOOR TOWER-01</t>
  </si>
  <si>
    <t xml:space="preserve">AHU </t>
  </si>
  <si>
    <t>TOILETS</t>
  </si>
  <si>
    <t>PUMP ROOM AND STP-01 IS SHARED B/W TOWER - 02 , 03 &amp; 04</t>
  </si>
  <si>
    <t>FIRST FLOOR TOWER-01</t>
  </si>
  <si>
    <t>2ND FLOOR TOWER-01</t>
  </si>
  <si>
    <t>3RD FLOOR TOWER-01</t>
  </si>
  <si>
    <t>4TH FLOOR TOWER-01</t>
  </si>
  <si>
    <t>5TH FLOOR TOWER-01</t>
  </si>
  <si>
    <t>6TH FLOOR TOWER-01</t>
  </si>
  <si>
    <t>7TH FLOOR TOWER-01</t>
  </si>
  <si>
    <t>8TH FLOOR TOWER-01</t>
  </si>
  <si>
    <t>9TH FLOOR TOWER-01</t>
  </si>
  <si>
    <t>10TH FLOOR TOWER-01</t>
  </si>
  <si>
    <t>11TH FLOOR TOWER-01</t>
  </si>
  <si>
    <t>12TH FLOOR TOWER-01</t>
  </si>
  <si>
    <t>13TH FLOOR TOWER-01</t>
  </si>
  <si>
    <t>14TH FLOOR TOWER-01</t>
  </si>
  <si>
    <t>15TH FLOOR TOWER-01</t>
  </si>
  <si>
    <t>16TH FLOOR TOWER-01</t>
  </si>
  <si>
    <t>19TH FLOOR TOWER-01</t>
  </si>
  <si>
    <t>20TH FLOOR TOWER-01</t>
  </si>
  <si>
    <t>22ND FLOOR TOWER-01</t>
  </si>
  <si>
    <t>23RD FLOOR TOWER-01</t>
  </si>
  <si>
    <t>24TH FLOOR TOWER-01</t>
  </si>
  <si>
    <t>25TH FLOOR TOWER-01</t>
  </si>
  <si>
    <t>26TH FLOOR TOWER-01</t>
  </si>
  <si>
    <t>27TH FLOOR TOWER-01</t>
  </si>
  <si>
    <t>11 TH FLOOR</t>
  </si>
  <si>
    <t>12 TH FLOOR</t>
  </si>
  <si>
    <t>14 TH FLOOR</t>
  </si>
  <si>
    <t>15 TH FLOOR</t>
  </si>
  <si>
    <t>16 TH FLOOR</t>
  </si>
  <si>
    <t>17 TH FLOOR</t>
  </si>
  <si>
    <t>18 TH FLOOR</t>
  </si>
  <si>
    <t>19 TH FLOOR</t>
  </si>
  <si>
    <t>20 TH FLOOR</t>
  </si>
  <si>
    <t>24 TH FLOOR</t>
  </si>
  <si>
    <t>25 TH FLOOR</t>
  </si>
  <si>
    <t>26 TH FLOOR</t>
  </si>
  <si>
    <t>27 TH FLOOR</t>
  </si>
  <si>
    <t>21 ST FLOOR</t>
  </si>
  <si>
    <t>22 ND FLOOR</t>
  </si>
  <si>
    <t>23 RD FLOOR</t>
  </si>
  <si>
    <t>1 ST FLOOR</t>
  </si>
  <si>
    <t xml:space="preserve">2ND FLOOR </t>
  </si>
  <si>
    <t xml:space="preserve">3RD FLOOR </t>
  </si>
  <si>
    <t>4TH FLOOR</t>
  </si>
  <si>
    <t>5TH FLOOR</t>
  </si>
  <si>
    <t xml:space="preserve">6TH FLOOR </t>
  </si>
  <si>
    <t xml:space="preserve">7TH FLOOR </t>
  </si>
  <si>
    <t xml:space="preserve">8TH FLOOR </t>
  </si>
  <si>
    <t>9TH FLOOR</t>
  </si>
  <si>
    <t>10TH FLOOR</t>
  </si>
  <si>
    <t>AHU 4</t>
  </si>
  <si>
    <t>TOTAL AHU BUILT-UP AREA</t>
  </si>
  <si>
    <t xml:space="preserve">TOTAL AHU CARPET AREA </t>
  </si>
  <si>
    <t>TOTAL E.ROOM BUILT-UP AREA</t>
  </si>
  <si>
    <t xml:space="preserve">TOTAL E.ROOM CARPET AREA </t>
  </si>
  <si>
    <t>TOTAL COMMON AREA</t>
  </si>
  <si>
    <t>OFFICE - 301</t>
  </si>
  <si>
    <t>OFFICE - 201</t>
  </si>
  <si>
    <t>REFUGE TERRACE -01</t>
  </si>
  <si>
    <t>REFUGE TERRACE -02</t>
  </si>
  <si>
    <t>TOTAL OFFICE BUILT-UP AREA</t>
  </si>
  <si>
    <t>TOTAL TOILET BUILT-UP AREA</t>
  </si>
  <si>
    <t xml:space="preserve">TOTAL TOILET CARPET AREA </t>
  </si>
  <si>
    <t>TERRACE FLOOR</t>
  </si>
  <si>
    <t>REFUGE TERRACE = 258.76  SQM IS CONSIDERED AS PART OF COMMON AREA</t>
  </si>
  <si>
    <t xml:space="preserve">TOTAL OFFICE  CARPET AREA </t>
  </si>
  <si>
    <t>OFFICE - 501</t>
  </si>
  <si>
    <t>STAIRCASE 02</t>
  </si>
  <si>
    <t>CORRIDOR NEAR STAIR-01</t>
  </si>
  <si>
    <t>OFFICE - 401</t>
  </si>
  <si>
    <t>OFFICE - 901</t>
  </si>
  <si>
    <t>PERCENTAGE WRT SBA</t>
  </si>
  <si>
    <t>GRAND TOTAL - 2</t>
  </si>
  <si>
    <t>REVISED PERCENTAGE WRT SBA</t>
  </si>
  <si>
    <t>ADD PROPORTIONATE SHARE OF CAFFETERIA IN TOWER -1 / TOWER - 2</t>
  </si>
  <si>
    <t>GRAND TOTAL - 1</t>
  </si>
  <si>
    <t>STAIRCASE 20</t>
  </si>
  <si>
    <t xml:space="preserve"> TERRACE -02</t>
  </si>
  <si>
    <t>LIFT ROOM</t>
  </si>
  <si>
    <t>ELECTRIACL &amp; UPS PANEL ROOM</t>
  </si>
  <si>
    <t>LOBBY NEAR STAIRCASE 07</t>
  </si>
  <si>
    <t>OFFICE - 601</t>
  </si>
  <si>
    <t>OFFICE - 701</t>
  </si>
  <si>
    <t>OFFICE - 801</t>
  </si>
  <si>
    <t>CONSIDERED UNDER COMMON AREA</t>
  </si>
  <si>
    <t>OFFICE-402</t>
  </si>
  <si>
    <t>OFFICE-403</t>
  </si>
  <si>
    <t>OFFICE-502</t>
  </si>
  <si>
    <t>OFFICE-503</t>
  </si>
  <si>
    <t>OFFICE - 702</t>
  </si>
  <si>
    <t>OFFICE - 703</t>
  </si>
  <si>
    <t>OFFICE - 704</t>
  </si>
  <si>
    <t>OFFICE - 802</t>
  </si>
  <si>
    <t>OFFICE - 803</t>
  </si>
  <si>
    <t>OFFICE - 804</t>
  </si>
  <si>
    <t>OFFICE - 602</t>
  </si>
  <si>
    <t>OFFICE - 603</t>
  </si>
  <si>
    <t>OFFICE - 604</t>
  </si>
  <si>
    <t>OFFICE - 902</t>
  </si>
  <si>
    <t>OFFICE - 903</t>
  </si>
  <si>
    <t>OFFICE - 502</t>
  </si>
  <si>
    <t>OFFICE - 504</t>
  </si>
  <si>
    <t>OFFICE - 1702</t>
  </si>
  <si>
    <t>OFFICE - 1703</t>
  </si>
  <si>
    <t>OFFICE - 402</t>
  </si>
  <si>
    <t>OFFICE - 404</t>
  </si>
  <si>
    <t>OFFICE - 1002</t>
  </si>
  <si>
    <t>OFFICE - 1003</t>
  </si>
  <si>
    <t>LMR ROOM</t>
  </si>
  <si>
    <t>LMR ROOM (MID RISE LIFTS)</t>
  </si>
  <si>
    <t>OFFICE - 1202</t>
  </si>
  <si>
    <t>OFFICE - 1203</t>
  </si>
  <si>
    <t>OFFICE - 1402</t>
  </si>
  <si>
    <t>OFFICE - 1403</t>
  </si>
  <si>
    <t>2M WIDE CORRIDOR</t>
  </si>
  <si>
    <t>OFFICE - 1102</t>
  </si>
  <si>
    <t>OFFICE - 1103</t>
  </si>
  <si>
    <t>17TH FLOOR TOWER-01</t>
  </si>
  <si>
    <t>18 FLOOR TOWER-01</t>
  </si>
  <si>
    <t>OFFICE - 1502</t>
  </si>
  <si>
    <t>OFFICE - 1503</t>
  </si>
  <si>
    <t>OFFICE - 1602</t>
  </si>
  <si>
    <t>OFFICE - 1603</t>
  </si>
  <si>
    <t>OFFICE - 1902</t>
  </si>
  <si>
    <t>OFFICE - 1903</t>
  </si>
  <si>
    <t>As per Marketing</t>
  </si>
  <si>
    <t>As per GFC</t>
  </si>
  <si>
    <t>OFFICE - 1802</t>
  </si>
  <si>
    <t>OFFICE - 1803</t>
  </si>
  <si>
    <t>21 ST FLOOR TOWER-01</t>
  </si>
  <si>
    <t>28TH FLOOR TOWER-01 (TERRACE -01)</t>
  </si>
  <si>
    <t>OFFICE - 2002</t>
  </si>
  <si>
    <t>OFFICE - 2003</t>
  </si>
  <si>
    <t>OFFICE - 2102</t>
  </si>
  <si>
    <t>OFFICE - 2103</t>
  </si>
  <si>
    <t>OFFICE - 2202</t>
  </si>
  <si>
    <t>OFFICE - 2203</t>
  </si>
  <si>
    <t>OFFICE - 2502</t>
  </si>
  <si>
    <t>OFFICE - 2503</t>
  </si>
  <si>
    <t>OFFICE - 2302</t>
  </si>
  <si>
    <t>OFFICE - 2303</t>
  </si>
  <si>
    <t>OFFICE - 2402</t>
  </si>
  <si>
    <t>OFFICE - 2403</t>
  </si>
  <si>
    <t>OFFICE - 2602</t>
  </si>
  <si>
    <t>OFFICE - 2603</t>
  </si>
  <si>
    <t>OFFICE - 2702</t>
  </si>
  <si>
    <t>OFFICE - 2703</t>
  </si>
  <si>
    <t>OFFICE - 2802</t>
  </si>
  <si>
    <t>COMBINED BASEMENTS</t>
  </si>
  <si>
    <t>FAN ROOM &amp; CORRIDORS</t>
  </si>
  <si>
    <t>DEDICATED FOR TOWER - 1</t>
  </si>
  <si>
    <t>DEDICATED TOWER-01</t>
  </si>
  <si>
    <t>UTILITY BLOCK</t>
  </si>
  <si>
    <t>AREA NEXT TO STAIR - 7</t>
  </si>
  <si>
    <t>AREA NEXT TO STAIR - 5</t>
  </si>
  <si>
    <t>SECOND FLOOR</t>
  </si>
  <si>
    <t>OFFICE - 302</t>
  </si>
  <si>
    <t>OFFICE - 304</t>
  </si>
  <si>
    <t>1ST FLOOR</t>
  </si>
  <si>
    <t>3RD FLOOR</t>
  </si>
  <si>
    <t>6TH FLOOR</t>
  </si>
  <si>
    <t>7TH FLOOR</t>
  </si>
  <si>
    <t>8TH FLOOR</t>
  </si>
  <si>
    <t xml:space="preserve">10TH FLOOR </t>
  </si>
  <si>
    <t>OFFICE-1001</t>
  </si>
  <si>
    <t>OFFICE-1002</t>
  </si>
  <si>
    <t>OFFICE-1003</t>
  </si>
  <si>
    <t>OFFICE-1004</t>
  </si>
  <si>
    <t xml:space="preserve">11TH FLOOR </t>
  </si>
  <si>
    <t xml:space="preserve">12TH FLOOR </t>
  </si>
  <si>
    <t>OFFICE-1103</t>
  </si>
  <si>
    <t>OFFICE-1104</t>
  </si>
  <si>
    <t>OFFICE-1201</t>
  </si>
  <si>
    <t>OFFICE-1202</t>
  </si>
  <si>
    <t>OFFICE-1203</t>
  </si>
  <si>
    <t>OFFICE-1204</t>
  </si>
  <si>
    <t>OFFICE-1404</t>
  </si>
  <si>
    <t xml:space="preserve">15TH FLOOR </t>
  </si>
  <si>
    <t xml:space="preserve">16TH FLOOR </t>
  </si>
  <si>
    <t>OFFICE-1501</t>
  </si>
  <si>
    <t>OFFICE-1502</t>
  </si>
  <si>
    <t>OFFICE-1503</t>
  </si>
  <si>
    <t>OFFICE-1504</t>
  </si>
  <si>
    <t>OFFICE-1601</t>
  </si>
  <si>
    <t>OFFICE-1602</t>
  </si>
  <si>
    <t>OFFICE-1603</t>
  </si>
  <si>
    <t>OFFICE-1604</t>
  </si>
  <si>
    <t xml:space="preserve">17TH FLOOR </t>
  </si>
  <si>
    <t>OFFICE-1701</t>
  </si>
  <si>
    <t>OFFICE-1702</t>
  </si>
  <si>
    <t>OFFICE-1703</t>
  </si>
  <si>
    <t>OFFICE-1704</t>
  </si>
  <si>
    <t xml:space="preserve">18TH FLOOR </t>
  </si>
  <si>
    <t>OFFICE-1801</t>
  </si>
  <si>
    <t>OFFICE-1802</t>
  </si>
  <si>
    <t>OFFICE-1803</t>
  </si>
  <si>
    <t>OFFICE-1804</t>
  </si>
  <si>
    <t>OFFICE-1901</t>
  </si>
  <si>
    <t xml:space="preserve">19TH FLOOR </t>
  </si>
  <si>
    <t>OFFICE-1902</t>
  </si>
  <si>
    <t>OFFICE-1903</t>
  </si>
  <si>
    <t>OFFICE-1904</t>
  </si>
  <si>
    <t xml:space="preserve">20TH FLOOR </t>
  </si>
  <si>
    <t>OFFICE-2001</t>
  </si>
  <si>
    <t>OFFICE-2002</t>
  </si>
  <si>
    <t>OFFICE-2003</t>
  </si>
  <si>
    <t>OFFICE-2004</t>
  </si>
  <si>
    <t xml:space="preserve">21ST FLOOR </t>
  </si>
  <si>
    <t>OFFICE-2101</t>
  </si>
  <si>
    <t>OFFICE-2102</t>
  </si>
  <si>
    <t>OFFICE-2103</t>
  </si>
  <si>
    <t>OFFICE-2104</t>
  </si>
  <si>
    <t>OFFICE-2201</t>
  </si>
  <si>
    <t>OFFICE-2202</t>
  </si>
  <si>
    <t>OFFICE-2203</t>
  </si>
  <si>
    <t>OFFICE-2204</t>
  </si>
  <si>
    <t xml:space="preserve">22ND FLOOR </t>
  </si>
  <si>
    <t xml:space="preserve">23RD FLOOR </t>
  </si>
  <si>
    <t>OFFICE-2301</t>
  </si>
  <si>
    <t>OFFICE-2302</t>
  </si>
  <si>
    <t>OFFICE-2303</t>
  </si>
  <si>
    <t>OFFICE-2304</t>
  </si>
  <si>
    <t xml:space="preserve">24TH FLOOR </t>
  </si>
  <si>
    <t>OFFICE-2401</t>
  </si>
  <si>
    <t>OFFICE-2402</t>
  </si>
  <si>
    <t>OFFICE-2403</t>
  </si>
  <si>
    <t>OFFICE-2404</t>
  </si>
  <si>
    <t xml:space="preserve">25TH FLOOR </t>
  </si>
  <si>
    <t>OFFICE-2501</t>
  </si>
  <si>
    <t>OFFICE-2502</t>
  </si>
  <si>
    <t>OFFICE-2503</t>
  </si>
  <si>
    <t>OFFICE-2504</t>
  </si>
  <si>
    <t xml:space="preserve">26TH FLOOR </t>
  </si>
  <si>
    <t>OFFICE-2601</t>
  </si>
  <si>
    <t>OFFICE-2602</t>
  </si>
  <si>
    <t>OFFICE-2603</t>
  </si>
  <si>
    <t>OFFICE-2604</t>
  </si>
  <si>
    <t xml:space="preserve">27TH FLOOR </t>
  </si>
  <si>
    <t>OFFICE-2701</t>
  </si>
  <si>
    <t>OFFICE-2702</t>
  </si>
  <si>
    <t>OFFICE-2703</t>
  </si>
  <si>
    <t>OFFICE-2704</t>
  </si>
  <si>
    <t xml:space="preserve">28TH FLOOR </t>
  </si>
  <si>
    <t>OFFICE-2801</t>
  </si>
  <si>
    <t>OFFICE-2802</t>
  </si>
  <si>
    <t>GRAND TOTAL</t>
  </si>
  <si>
    <t>TOILET - 1</t>
  </si>
  <si>
    <t>ELECTRICAL PANEL ROOM</t>
  </si>
  <si>
    <t>STAIRCASE, PANEL ROOM &amp; LMR</t>
  </si>
  <si>
    <r>
      <t xml:space="preserve">UTILITY BLOCK &amp; </t>
    </r>
    <r>
      <rPr>
        <b/>
        <sz val="11"/>
        <color rgb="FFFF66FF"/>
        <rFont val="Calibri"/>
        <family val="2"/>
        <scheme val="minor"/>
      </rPr>
      <t>COMMON SERVICES</t>
    </r>
    <r>
      <rPr>
        <b/>
        <sz val="11"/>
        <color theme="1"/>
        <rFont val="Calibri"/>
        <family val="2"/>
        <scheme val="minor"/>
      </rPr>
      <t xml:space="preserve"> SHARED B/W TOWER - 01 , 02 , 03 &amp; 04</t>
    </r>
  </si>
  <si>
    <t>ADD PROPORTIONATE SHARE OF UTILITY BLOCK AREAS &amp; COMMON SERVICES</t>
  </si>
  <si>
    <t>CORRIDOR NEXT TO SERVICE LOBBY</t>
  </si>
  <si>
    <t>2M WIDE CORRIDOR + CORRIDOR NEAR FIRE ESCAPE STAIR CASE</t>
  </si>
  <si>
    <t>CORRIDOR NEXT TO FAN ROOM</t>
  </si>
  <si>
    <t>28 TH FLOOR</t>
  </si>
  <si>
    <t>F&amp;B RETAIL - G01</t>
  </si>
  <si>
    <t>RESTAURANT - G02</t>
  </si>
  <si>
    <t>SHOP - 102</t>
  </si>
  <si>
    <t>OFFICE - 103</t>
  </si>
  <si>
    <t>OFFICE - 104</t>
  </si>
  <si>
    <t>TOILET - 2</t>
  </si>
  <si>
    <t>OFFICE - 202</t>
  </si>
  <si>
    <t>SUMMARY AREA STATEMENT OF WTC CHENNAI - TOWER 01 - NOT FOR IMPLEMENTATION</t>
  </si>
  <si>
    <t>RETAIL / PODIUM ARCADE</t>
  </si>
  <si>
    <t>ESCALATOR + ENTRANCE AREA</t>
  </si>
  <si>
    <t>LIFT LOBBY + CORRIDOR + STORE</t>
  </si>
  <si>
    <t>ESCALATOR + COMMON AREA</t>
  </si>
  <si>
    <t>E = A + B + C + D</t>
  </si>
  <si>
    <t>F</t>
  </si>
  <si>
    <t>G = E + F</t>
  </si>
  <si>
    <t>H = G * 10.764</t>
  </si>
  <si>
    <t>DATE : 02.06.18</t>
  </si>
  <si>
    <t>AMENDMENT TO FINAL FOR AGREEMENT PURPOSE - TOWER 1</t>
  </si>
  <si>
    <t>REDUCTION IN TERMS OF GROUND FLOOR LOBBY AREA</t>
  </si>
  <si>
    <t>PASSANGER LIFT AREAS HAS BEEN ADDED</t>
  </si>
  <si>
    <t>AS PER PRAVIEN</t>
  </si>
  <si>
    <t>SQM</t>
  </si>
  <si>
    <t>STAIRCASE, LIFT, LOBBY</t>
  </si>
  <si>
    <r>
      <rPr>
        <b/>
        <sz val="11"/>
        <rFont val="Calibri"/>
        <family val="2"/>
      </rPr>
      <t>SI.No.</t>
    </r>
  </si>
  <si>
    <r>
      <rPr>
        <b/>
        <sz val="11"/>
        <rFont val="Calibri"/>
        <family val="2"/>
      </rPr>
      <t>Block</t>
    </r>
  </si>
  <si>
    <r>
      <rPr>
        <b/>
        <sz val="11"/>
        <rFont val="Calibri"/>
        <family val="2"/>
      </rPr>
      <t>Floor</t>
    </r>
  </si>
  <si>
    <r>
      <rPr>
        <b/>
        <sz val="11"/>
        <rFont val="Calibri"/>
        <family val="2"/>
      </rPr>
      <t>Type</t>
    </r>
  </si>
  <si>
    <r>
      <rPr>
        <b/>
        <sz val="11"/>
        <rFont val="Calibri"/>
        <family val="2"/>
      </rPr>
      <t xml:space="preserve">RERA Carpet Area (sec 2(k))
</t>
    </r>
    <r>
      <rPr>
        <b/>
        <sz val="11"/>
        <rFont val="Calibri"/>
        <family val="2"/>
      </rPr>
      <t>(sq.m)</t>
    </r>
  </si>
  <si>
    <r>
      <rPr>
        <b/>
        <sz val="11"/>
        <rFont val="Calibri"/>
        <family val="2"/>
      </rPr>
      <t>Exclusive Balcony (sq.m)</t>
    </r>
  </si>
  <si>
    <t>TOWER-1</t>
  </si>
  <si>
    <t>LAND AREA CONSIDERD FOR UDS PURPOSE</t>
  </si>
  <si>
    <t>UDS IN SFT</t>
  </si>
  <si>
    <t>TOTAL SBA IN SFT</t>
  </si>
  <si>
    <t>UDS IN SQM</t>
  </si>
  <si>
    <t>Exclusive Verandah/Utility/ Service/Open Terrace(sq.m)</t>
  </si>
  <si>
    <t>Proportionate Common Area(sq.m)</t>
  </si>
  <si>
    <t>Total Area(sq.m)</t>
  </si>
  <si>
    <t>UDS land Area(sq.m)</t>
  </si>
  <si>
    <t>Car Parking(Nos.)</t>
  </si>
  <si>
    <t>Covered</t>
  </si>
  <si>
    <t>Open</t>
  </si>
  <si>
    <t>RETAIL</t>
  </si>
  <si>
    <t>ATM</t>
  </si>
  <si>
    <t>OFFICE -0101</t>
  </si>
  <si>
    <t>OFFICE -0103</t>
  </si>
  <si>
    <t>OFFICE -0201</t>
  </si>
  <si>
    <t>OFFICE -0202</t>
  </si>
  <si>
    <t>OFFICE -0203</t>
  </si>
  <si>
    <t>OFFICE -0204</t>
  </si>
  <si>
    <t>OFFICE -0205</t>
  </si>
  <si>
    <t>OFFICE -0301</t>
  </si>
  <si>
    <t>OFFICE -0302</t>
  </si>
  <si>
    <t>OFFICE -0303</t>
  </si>
  <si>
    <t>OFFICE -0304</t>
  </si>
  <si>
    <t>OFFICE -0305</t>
  </si>
  <si>
    <t>OFFICE -0401</t>
  </si>
  <si>
    <t>OFFICE -0402</t>
  </si>
  <si>
    <t>OFFICE -0403</t>
  </si>
  <si>
    <t>OFFICE -0404</t>
  </si>
  <si>
    <t>OFFICE -0405</t>
  </si>
  <si>
    <t>OFFICE -0501</t>
  </si>
  <si>
    <t>OFFICE -0502</t>
  </si>
  <si>
    <t>OFFICE -0503</t>
  </si>
  <si>
    <t>OFFICE -0504</t>
  </si>
  <si>
    <t>OFFICE -0505</t>
  </si>
  <si>
    <t>OFFICE -0601</t>
  </si>
  <si>
    <t>OFFICE -0602</t>
  </si>
  <si>
    <t>OFFICE -0603</t>
  </si>
  <si>
    <t>OFFICE -0604</t>
  </si>
  <si>
    <t>OFFICE -0605</t>
  </si>
  <si>
    <t>OFFICE -0701</t>
  </si>
  <si>
    <t>OFFICE -0702</t>
  </si>
  <si>
    <t>OFFICE -0703</t>
  </si>
  <si>
    <t>OFFICE -0704</t>
  </si>
  <si>
    <t>OFFICE -0705</t>
  </si>
  <si>
    <t>OFFICE -801</t>
  </si>
  <si>
    <t>OFFICE -802</t>
  </si>
  <si>
    <t>OFFICE -803</t>
  </si>
  <si>
    <t>OFFICE -804</t>
  </si>
  <si>
    <t>OFFICE -805</t>
  </si>
  <si>
    <t>Flat No.</t>
  </si>
  <si>
    <t>OFFICE -0901</t>
  </si>
  <si>
    <t>OFFICE -0902</t>
  </si>
  <si>
    <t>OFFICE -0903</t>
  </si>
  <si>
    <t>OFFICE -0904</t>
  </si>
  <si>
    <t>OFFICE -0905</t>
  </si>
  <si>
    <t>OFFICE -1001</t>
  </si>
  <si>
    <t>OFFICE -1002</t>
  </si>
  <si>
    <t>OFFICE -1003</t>
  </si>
  <si>
    <t>OFFICE -1004</t>
  </si>
  <si>
    <t>OFFICE -1005</t>
  </si>
  <si>
    <t>OFFICE -1101</t>
  </si>
  <si>
    <t>OFFICE -1102</t>
  </si>
  <si>
    <t>OFFICE -1103</t>
  </si>
  <si>
    <t>OFFICE -1104</t>
  </si>
  <si>
    <t>OFFICE -1105</t>
  </si>
  <si>
    <t>OFFICE -1201</t>
  </si>
  <si>
    <t>OFFICE -1202</t>
  </si>
  <si>
    <t>OFFICE -1203</t>
  </si>
  <si>
    <t>OFFICE -1204</t>
  </si>
  <si>
    <t>OFFICE -1205</t>
  </si>
  <si>
    <t>TOWER-2</t>
  </si>
  <si>
    <t>OFFICE- 0301</t>
  </si>
  <si>
    <t>OFFICE- 0302</t>
  </si>
  <si>
    <t>OFFICE- 0303</t>
  </si>
  <si>
    <t>OFFICE- 0304</t>
  </si>
  <si>
    <t>OFFICE-0401</t>
  </si>
  <si>
    <t>OFFICE-0402</t>
  </si>
  <si>
    <t>OFFICE-0403</t>
  </si>
  <si>
    <t>OFFICE-0404</t>
  </si>
  <si>
    <t>OFFICE-0501</t>
  </si>
  <si>
    <t>OFFICE-0502</t>
  </si>
  <si>
    <t>OFFICE-0503</t>
  </si>
  <si>
    <t>OFFICE-0504</t>
  </si>
  <si>
    <t>OFFICE-0601</t>
  </si>
  <si>
    <t>OFFICE-0602</t>
  </si>
  <si>
    <t>OFFICE-0603</t>
  </si>
  <si>
    <t>OFFICE-0604</t>
  </si>
  <si>
    <t>OFFICE-0701</t>
  </si>
  <si>
    <t>OFFICE-0702</t>
  </si>
  <si>
    <t>OFFICE-0703</t>
  </si>
  <si>
    <t>OFFICE-0704</t>
  </si>
  <si>
    <t>OFFICE-0801</t>
  </si>
  <si>
    <t>OFFICE-0802</t>
  </si>
  <si>
    <t>OFFICE-0803</t>
  </si>
  <si>
    <t>OFFICE-0804</t>
  </si>
  <si>
    <t>OFFICE-0901</t>
  </si>
  <si>
    <t>OFFICE-0902</t>
  </si>
  <si>
    <t>OFFICE-0903</t>
  </si>
  <si>
    <t>OFFICE-0904</t>
  </si>
  <si>
    <t>OFICE-1101</t>
  </si>
  <si>
    <t>OFICE-1102</t>
  </si>
  <si>
    <t>OFICE-1103</t>
  </si>
  <si>
    <t>OFICE-1104</t>
  </si>
  <si>
    <t>PARKING DETAIL</t>
  </si>
  <si>
    <t xml:space="preserve">BASEMENT-2 </t>
  </si>
  <si>
    <t>BASEMENT-1</t>
  </si>
  <si>
    <t>MLCP</t>
  </si>
  <si>
    <t>SITE PARKING</t>
  </si>
  <si>
    <t>TOTAL NO.S</t>
  </si>
  <si>
    <t>TOTAL AREA</t>
  </si>
  <si>
    <t>COVERED PARKING</t>
  </si>
  <si>
    <t>OPEN PARKING</t>
  </si>
  <si>
    <t>PUZZLE</t>
  </si>
  <si>
    <t>REGULAR</t>
  </si>
  <si>
    <t>FLOOR WISE</t>
  </si>
  <si>
    <t>_</t>
  </si>
  <si>
    <t>COVERED CAR PARKING %</t>
  </si>
  <si>
    <t>OPEN PARKING%</t>
  </si>
  <si>
    <t>TW PARKING COVERED</t>
  </si>
  <si>
    <t>TW PARKING OPEN</t>
  </si>
  <si>
    <t>Two Wheeler 
Praking(Nos.)</t>
  </si>
  <si>
    <t>12TH FLOOR</t>
  </si>
  <si>
    <t>2ND FLOOR</t>
  </si>
  <si>
    <t>11TH FLOOR</t>
  </si>
  <si>
    <t>-</t>
  </si>
  <si>
    <t>20525 SQM</t>
  </si>
  <si>
    <t xml:space="preserve">OSR PROVIDED </t>
  </si>
  <si>
    <t>2073.89 SQM</t>
  </si>
  <si>
    <t>SUB STATION AREA</t>
  </si>
  <si>
    <t>400.00 SQM</t>
  </si>
  <si>
    <t xml:space="preserve">                                                             Carpet Area Statement                                                                                             </t>
  </si>
  <si>
    <t>NOTE : TOWER-3 (MLCP) AREA (561.04 SQM) HAS BEEN LOADED PROPORTIONATELY AMONG TOWER-1 &amp; 2 IN UDS</t>
  </si>
  <si>
    <t xml:space="preserve">               CAFETERIA IS PART OF COMMON AREA AND THE SAME IS CONSIDERD UNDER PROPORATIONATE COMMON AREA</t>
  </si>
  <si>
    <t xml:space="preserve">                         TOTAL LAND AREA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</si>
</sst>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00%"/>
    <numFmt numFmtId="165" formatCode="0.000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 Black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Arial Black"/>
      <family val="2"/>
    </font>
    <font>
      <b/>
      <sz val="11"/>
      <color rgb="FFFF66FF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21"/>
      <color rgb="FF00B0F0"/>
      <name val="Calibri"/>
      <family val="2"/>
      <scheme val="minor"/>
    </font>
    <font>
      <b/>
      <sz val="2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  <font>
      <b/>
      <sz val="12"/>
      <color rgb="FFFF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21"/>
      <name val="Calibri"/>
      <family val="2"/>
      <scheme val="minor"/>
    </font>
    <font>
      <b/>
      <sz val="12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27CCB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A5A5A5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22" borderId="12" applyNumberFormat="0" applyAlignment="0" applyProtection="0"/>
  </cellStyleXfs>
  <cellXfs count="31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  <xf numFmtId="0" fontId="5" fillId="12" borderId="4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1" borderId="4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/>
    </xf>
    <xf numFmtId="2" fontId="0" fillId="12" borderId="4" xfId="0" applyNumberFormat="1" applyFill="1" applyBorder="1" applyAlignment="1">
      <alignment horizontal="center" vertical="center"/>
    </xf>
    <xf numFmtId="2" fontId="0" fillId="11" borderId="4" xfId="0" applyNumberFormat="1" applyFill="1" applyBorder="1" applyAlignment="1">
      <alignment horizontal="center" vertical="center"/>
    </xf>
    <xf numFmtId="2" fontId="7" fillId="10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2" fontId="0" fillId="2" borderId="0" xfId="0" applyNumberFormat="1" applyFill="1" applyAlignment="1">
      <alignment horizontal="center"/>
    </xf>
    <xf numFmtId="0" fontId="9" fillId="0" borderId="0" xfId="0" applyFont="1" applyAlignment="1">
      <alignment horizontal="left"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0" fillId="2" borderId="0" xfId="0" applyFill="1" applyAlignment="1">
      <alignment horizontal="left"/>
    </xf>
    <xf numFmtId="2" fontId="0" fillId="6" borderId="0" xfId="0" applyNumberFormat="1" applyFill="1" applyAlignment="1">
      <alignment horizontal="center"/>
    </xf>
    <xf numFmtId="0" fontId="0" fillId="15" borderId="0" xfId="0" applyFill="1"/>
    <xf numFmtId="0" fontId="0" fillId="15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4" xfId="0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vertical="center"/>
    </xf>
    <xf numFmtId="0" fontId="0" fillId="0" borderId="0" xfId="0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0" fillId="16" borderId="0" xfId="0" applyFill="1"/>
    <xf numFmtId="0" fontId="1" fillId="16" borderId="0" xfId="0" applyFont="1" applyFill="1"/>
    <xf numFmtId="0" fontId="1" fillId="16" borderId="0" xfId="0" applyFont="1" applyFill="1" applyAlignment="1">
      <alignment horizontal="center"/>
    </xf>
    <xf numFmtId="0" fontId="0" fillId="3" borderId="0" xfId="0" applyFill="1" applyAlignment="1">
      <alignment horizontal="left" vertical="center" wrapText="1"/>
    </xf>
    <xf numFmtId="0" fontId="10" fillId="2" borderId="0" xfId="0" applyFont="1" applyFill="1" applyAlignment="1">
      <alignment horizontal="center"/>
    </xf>
    <xf numFmtId="0" fontId="1" fillId="0" borderId="0" xfId="0" applyFont="1" applyAlignment="1">
      <alignment vertical="center"/>
    </xf>
    <xf numFmtId="0" fontId="0" fillId="7" borderId="0" xfId="0" applyFill="1"/>
    <xf numFmtId="0" fontId="0" fillId="7" borderId="0" xfId="0" applyFill="1" applyAlignment="1">
      <alignment horizontal="center"/>
    </xf>
    <xf numFmtId="0" fontId="1" fillId="0" borderId="0" xfId="0" applyFont="1" applyAlignment="1">
      <alignment vertical="center" wrapText="1"/>
    </xf>
    <xf numFmtId="0" fontId="1" fillId="7" borderId="0" xfId="0" applyFont="1" applyFill="1" applyAlignment="1">
      <alignment horizontal="left"/>
    </xf>
    <xf numFmtId="0" fontId="0" fillId="6" borderId="0" xfId="0" applyFill="1" applyAlignment="1">
      <alignment horizontal="left"/>
    </xf>
    <xf numFmtId="2" fontId="0" fillId="4" borderId="0" xfId="0" applyNumberFormat="1" applyFill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0" fillId="7" borderId="0" xfId="0" applyNumberFormat="1" applyFill="1" applyAlignment="1">
      <alignment horizontal="center"/>
    </xf>
    <xf numFmtId="0" fontId="5" fillId="10" borderId="0" xfId="0" applyFont="1" applyFill="1" applyAlignment="1">
      <alignment horizontal="left" vertical="center"/>
    </xf>
    <xf numFmtId="0" fontId="5" fillId="13" borderId="0" xfId="0" applyFont="1" applyFill="1" applyAlignment="1">
      <alignment horizontal="left" vertical="center"/>
    </xf>
    <xf numFmtId="0" fontId="5" fillId="13" borderId="0" xfId="0" applyFont="1" applyFill="1" applyAlignment="1">
      <alignment horizontal="center" vertical="center" wrapText="1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7" fillId="10" borderId="0" xfId="0" applyFont="1" applyFill="1" applyAlignment="1">
      <alignment horizontal="left" vertical="center"/>
    </xf>
    <xf numFmtId="0" fontId="7" fillId="10" borderId="0" xfId="0" applyFont="1" applyFill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11" borderId="0" xfId="0" applyFont="1" applyFill="1" applyAlignment="1">
      <alignment horizontal="center" vertical="center" wrapText="1"/>
    </xf>
    <xf numFmtId="0" fontId="7" fillId="11" borderId="0" xfId="0" applyFont="1" applyFill="1" applyAlignment="1">
      <alignment horizontal="left" vertical="center" wrapText="1"/>
    </xf>
    <xf numFmtId="0" fontId="7" fillId="13" borderId="0" xfId="0" applyFont="1" applyFill="1" applyAlignment="1">
      <alignment horizontal="center" vertical="center" wrapText="1"/>
    </xf>
    <xf numFmtId="0" fontId="7" fillId="13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2" fontId="0" fillId="0" borderId="0" xfId="0" applyNumberFormat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4" borderId="4" xfId="0" applyFont="1" applyFill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/>
    </xf>
    <xf numFmtId="2" fontId="0" fillId="13" borderId="4" xfId="0" applyNumberFormat="1" applyFill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14" borderId="4" xfId="0" applyNumberForma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 wrapText="1"/>
    </xf>
    <xf numFmtId="0" fontId="0" fillId="9" borderId="0" xfId="0" applyFill="1"/>
    <xf numFmtId="0" fontId="0" fillId="9" borderId="0" xfId="0" applyFill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0" fontId="1" fillId="0" borderId="0" xfId="1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0" fillId="3" borderId="0" xfId="0" applyNumberFormat="1" applyFill="1" applyAlignment="1">
      <alignment horizontal="center"/>
    </xf>
    <xf numFmtId="2" fontId="0" fillId="9" borderId="0" xfId="0" applyNumberFormat="1" applyFill="1" applyAlignment="1">
      <alignment horizontal="center"/>
    </xf>
    <xf numFmtId="0" fontId="0" fillId="18" borderId="0" xfId="0" applyFill="1"/>
    <xf numFmtId="10" fontId="2" fillId="0" borderId="0" xfId="1" applyNumberFormat="1" applyFont="1" applyAlignment="1">
      <alignment horizontal="center" vertical="center"/>
    </xf>
    <xf numFmtId="0" fontId="8" fillId="0" borderId="0" xfId="0" applyFont="1"/>
    <xf numFmtId="0" fontId="1" fillId="19" borderId="0" xfId="0" applyFont="1" applyFill="1" applyAlignment="1">
      <alignment vertical="center"/>
    </xf>
    <xf numFmtId="0" fontId="0" fillId="19" borderId="0" xfId="0" applyFill="1" applyAlignment="1">
      <alignment vertical="center"/>
    </xf>
    <xf numFmtId="2" fontId="1" fillId="19" borderId="0" xfId="0" applyNumberFormat="1" applyFont="1" applyFill="1" applyAlignment="1">
      <alignment horizontal="center" vertical="center"/>
    </xf>
    <xf numFmtId="0" fontId="1" fillId="20" borderId="0" xfId="0" applyFont="1" applyFill="1" applyAlignment="1">
      <alignment vertical="center"/>
    </xf>
    <xf numFmtId="0" fontId="0" fillId="20" borderId="0" xfId="0" applyFill="1" applyAlignment="1">
      <alignment vertical="center"/>
    </xf>
    <xf numFmtId="2" fontId="1" fillId="20" borderId="0" xfId="0" applyNumberFormat="1" applyFont="1" applyFill="1" applyAlignment="1">
      <alignment horizontal="center" vertical="center"/>
    </xf>
    <xf numFmtId="2" fontId="0" fillId="20" borderId="0" xfId="0" applyNumberFormat="1" applyFill="1" applyAlignment="1">
      <alignment horizontal="center" vertical="center"/>
    </xf>
    <xf numFmtId="0" fontId="0" fillId="20" borderId="0" xfId="0" applyFill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" fontId="0" fillId="0" borderId="4" xfId="0" applyNumberFormat="1" applyBorder="1" applyAlignment="1">
      <alignment horizontal="center" vertical="center"/>
    </xf>
    <xf numFmtId="1" fontId="0" fillId="0" borderId="0" xfId="0" applyNumberFormat="1"/>
    <xf numFmtId="1" fontId="1" fillId="0" borderId="0" xfId="0" applyNumberFormat="1" applyFont="1" applyAlignment="1">
      <alignment horizontal="center"/>
    </xf>
    <xf numFmtId="2" fontId="0" fillId="0" borderId="0" xfId="0" applyNumberFormat="1"/>
    <xf numFmtId="1" fontId="1" fillId="0" borderId="0" xfId="0" applyNumberFormat="1" applyFont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1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1" fillId="6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" fillId="4" borderId="0" xfId="0" applyFont="1" applyFill="1"/>
    <xf numFmtId="0" fontId="1" fillId="17" borderId="0" xfId="0" applyFont="1" applyFill="1" applyAlignment="1">
      <alignment wrapText="1"/>
    </xf>
    <xf numFmtId="2" fontId="0" fillId="18" borderId="0" xfId="0" applyNumberFormat="1" applyFill="1" applyAlignment="1">
      <alignment horizontal="center"/>
    </xf>
    <xf numFmtId="0" fontId="1" fillId="8" borderId="0" xfId="0" applyFont="1" applyFill="1" applyAlignment="1">
      <alignment wrapText="1"/>
    </xf>
    <xf numFmtId="2" fontId="0" fillId="8" borderId="0" xfId="0" applyNumberFormat="1" applyFill="1" applyAlignment="1">
      <alignment horizontal="center"/>
    </xf>
    <xf numFmtId="2" fontId="0" fillId="1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0" fontId="7" fillId="21" borderId="0" xfId="0" applyFont="1" applyFill="1" applyAlignment="1">
      <alignment horizontal="left" vertical="center"/>
    </xf>
    <xf numFmtId="0" fontId="7" fillId="21" borderId="0" xfId="0" applyFont="1" applyFill="1" applyAlignment="1">
      <alignment horizontal="center" vertical="center"/>
    </xf>
    <xf numFmtId="0" fontId="7" fillId="21" borderId="0" xfId="0" applyFont="1" applyFill="1" applyAlignment="1">
      <alignment horizontal="left" vertical="center" wrapText="1"/>
    </xf>
    <xf numFmtId="0" fontId="7" fillId="21" borderId="0" xfId="0" applyFont="1" applyFill="1" applyAlignment="1">
      <alignment horizontal="center" vertical="center" wrapText="1"/>
    </xf>
    <xf numFmtId="2" fontId="6" fillId="0" borderId="0" xfId="0" applyNumberFormat="1" applyFont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0" fillId="19" borderId="0" xfId="0" applyFill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10" fontId="1" fillId="0" borderId="0" xfId="1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0" fontId="7" fillId="6" borderId="0" xfId="0" applyFont="1" applyFill="1"/>
    <xf numFmtId="0" fontId="7" fillId="6" borderId="0" xfId="0" applyFont="1" applyFill="1" applyAlignment="1">
      <alignment horizontal="center"/>
    </xf>
    <xf numFmtId="0" fontId="0" fillId="15" borderId="0" xfId="0" applyFill="1" applyAlignment="1">
      <alignment horizontal="center" vertical="center"/>
    </xf>
    <xf numFmtId="0" fontId="0" fillId="15" borderId="0" xfId="0" applyFill="1" applyAlignment="1">
      <alignment horizontal="center" wrapText="1"/>
    </xf>
    <xf numFmtId="0" fontId="0" fillId="9" borderId="4" xfId="0" applyFill="1" applyBorder="1" applyAlignment="1">
      <alignment horizontal="center"/>
    </xf>
    <xf numFmtId="0" fontId="0" fillId="14" borderId="0" xfId="0" applyFill="1"/>
    <xf numFmtId="0" fontId="0" fillId="14" borderId="0" xfId="0" applyFill="1" applyAlignment="1">
      <alignment horizontal="center"/>
    </xf>
    <xf numFmtId="2" fontId="6" fillId="0" borderId="4" xfId="0" applyNumberFormat="1" applyFont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9" borderId="0" xfId="0" applyFill="1" applyAlignment="1">
      <alignment wrapText="1"/>
    </xf>
    <xf numFmtId="2" fontId="0" fillId="9" borderId="0" xfId="0" applyNumberFormat="1" applyFill="1" applyAlignment="1">
      <alignment horizontal="center" vertical="center"/>
    </xf>
    <xf numFmtId="0" fontId="0" fillId="9" borderId="0" xfId="0" applyFill="1" applyAlignment="1">
      <alignment horizontal="center" wrapText="1"/>
    </xf>
    <xf numFmtId="2" fontId="0" fillId="10" borderId="4" xfId="0" applyNumberFormat="1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1" fontId="1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/>
    <xf numFmtId="2" fontId="7" fillId="0" borderId="4" xfId="0" applyNumberFormat="1" applyFont="1" applyBorder="1" applyAlignment="1">
      <alignment horizontal="center" vertical="center"/>
    </xf>
    <xf numFmtId="0" fontId="0" fillId="5" borderId="0" xfId="0" applyFill="1" applyAlignment="1">
      <alignment horizontal="left"/>
    </xf>
    <xf numFmtId="1" fontId="0" fillId="0" borderId="0" xfId="0" applyNumberFormat="1" applyAlignment="1">
      <alignment horizontal="center"/>
    </xf>
    <xf numFmtId="2" fontId="1" fillId="0" borderId="0" xfId="0" applyNumberFormat="1" applyFont="1" applyAlignment="1">
      <alignment vertical="center"/>
    </xf>
    <xf numFmtId="2" fontId="3" fillId="11" borderId="4" xfId="0" applyNumberFormat="1" applyFont="1" applyFill="1" applyBorder="1" applyAlignment="1">
      <alignment horizontal="center" vertical="center" wrapText="1"/>
    </xf>
    <xf numFmtId="0" fontId="8" fillId="9" borderId="0" xfId="0" applyFont="1" applyFill="1"/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11" borderId="4" xfId="0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2" fontId="1" fillId="0" borderId="0" xfId="0" applyNumberFormat="1" applyFont="1"/>
    <xf numFmtId="10" fontId="0" fillId="0" borderId="0" xfId="1" applyNumberFormat="1" applyFont="1" applyAlignment="1">
      <alignment horizontal="center"/>
    </xf>
    <xf numFmtId="2" fontId="15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/>
    </xf>
    <xf numFmtId="0" fontId="1" fillId="15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" fontId="0" fillId="9" borderId="4" xfId="0" applyNumberFormat="1" applyFill="1" applyBorder="1" applyAlignment="1">
      <alignment horizontal="center" vertical="center"/>
    </xf>
    <xf numFmtId="1" fontId="1" fillId="9" borderId="4" xfId="0" applyNumberFormat="1" applyFont="1" applyFill="1" applyBorder="1" applyAlignment="1">
      <alignment horizontal="center" vertical="center"/>
    </xf>
    <xf numFmtId="2" fontId="14" fillId="0" borderId="7" xfId="0" applyNumberFormat="1" applyFont="1" applyBorder="1" applyAlignment="1">
      <alignment vertical="center" wrapText="1"/>
    </xf>
    <xf numFmtId="2" fontId="14" fillId="0" borderId="8" xfId="0" applyNumberFormat="1" applyFont="1" applyBorder="1" applyAlignment="1">
      <alignment vertical="center" wrapText="1"/>
    </xf>
    <xf numFmtId="0" fontId="8" fillId="9" borderId="0" xfId="0" applyFont="1" applyFill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2" fontId="14" fillId="0" borderId="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2" fontId="1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 applyAlignment="1">
      <alignment vertical="center"/>
    </xf>
    <xf numFmtId="2" fontId="0" fillId="2" borderId="0" xfId="0" applyNumberFormat="1" applyFill="1" applyAlignment="1">
      <alignment horizontal="center" vertical="center"/>
    </xf>
    <xf numFmtId="0" fontId="0" fillId="9" borderId="0" xfId="0" applyFill="1" applyAlignment="1">
      <alignment vertical="center"/>
    </xf>
    <xf numFmtId="0" fontId="0" fillId="15" borderId="0" xfId="0" applyFill="1" applyAlignment="1">
      <alignment vertical="center"/>
    </xf>
    <xf numFmtId="2" fontId="7" fillId="9" borderId="0" xfId="0" applyNumberFormat="1" applyFont="1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9" borderId="0" xfId="0" applyFont="1" applyFill="1" applyAlignment="1">
      <alignment vertical="center"/>
    </xf>
    <xf numFmtId="0" fontId="3" fillId="9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7" borderId="0" xfId="0" applyFill="1" applyAlignment="1">
      <alignment vertical="center"/>
    </xf>
    <xf numFmtId="0" fontId="0" fillId="7" borderId="0" xfId="0" applyFill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/>
    </xf>
    <xf numFmtId="1" fontId="9" fillId="0" borderId="4" xfId="0" applyNumberFormat="1" applyFont="1" applyBorder="1" applyAlignment="1">
      <alignment horizontal="center" vertical="center"/>
    </xf>
    <xf numFmtId="0" fontId="23" fillId="22" borderId="4" xfId="3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9" fillId="7" borderId="4" xfId="0" applyFont="1" applyFill="1" applyBorder="1" applyAlignment="1">
      <alignment horizontal="center" vertical="center"/>
    </xf>
    <xf numFmtId="0" fontId="1" fillId="16" borderId="4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1" fontId="16" fillId="0" borderId="0" xfId="0" applyNumberFormat="1" applyFont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/>
    </xf>
    <xf numFmtId="0" fontId="7" fillId="16" borderId="4" xfId="0" applyFont="1" applyFill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 vertical="center"/>
    </xf>
    <xf numFmtId="10" fontId="7" fillId="0" borderId="0" xfId="1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1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1" fontId="4" fillId="0" borderId="0" xfId="0" applyNumberFormat="1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0" fontId="0" fillId="0" borderId="0" xfId="1" applyNumberFormat="1" applyFont="1" applyFill="1" applyBorder="1" applyAlignment="1">
      <alignment horizontal="center"/>
    </xf>
    <xf numFmtId="10" fontId="0" fillId="0" borderId="0" xfId="1" applyNumberFormat="1" applyFont="1" applyFill="1" applyBorder="1" applyAlignment="1">
      <alignment horizontal="center" vertical="center"/>
    </xf>
    <xf numFmtId="1" fontId="0" fillId="0" borderId="0" xfId="1" applyNumberFormat="1" applyFont="1" applyFill="1" applyBorder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7" borderId="0" xfId="0" applyFont="1" applyFill="1" applyAlignment="1">
      <alignment horizontal="center" vertical="center" wrapText="1"/>
    </xf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15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1" xfId="0" applyFont="1" applyBorder="1" applyAlignment="1">
      <alignment horizontal="center"/>
    </xf>
  </cellXfs>
  <cellStyles count="4">
    <cellStyle name="Check Cell" xfId="3" builtinId="23"/>
    <cellStyle name="Comma 2" xfId="2" xr:uid="{00000000-0005-0000-0000-000000000000}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99FF"/>
      <color rgb="FFF27CCB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nvaarch-my.sharepoint.com/personal/nvaarch03_nvaarch_onmicrosoft_com/Documents/BTB-RERA%20DETAILS-03-01-2024.xlsx?web=1" TargetMode="External"/><Relationship Id="rId1" Type="http://schemas.openxmlformats.org/officeDocument/2006/relationships/hyperlink" Target="https://nvaarch-my.sharepoint.com/personal/nvaarch03_nvaarch_onmicrosoft_com/Documents/BTB-RERA%20DETAILS-03-01-2024.xlsx?web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559AA-A2FF-4694-A395-2EDB3844751C}">
  <sheetPr>
    <tabColor rgb="FF92D050"/>
  </sheetPr>
  <dimension ref="A1:FG300"/>
  <sheetViews>
    <sheetView tabSelected="1" view="pageBreakPreview" topLeftCell="ED57" zoomScale="80" zoomScaleNormal="70" zoomScaleSheetLayoutView="80" zoomScalePageLayoutView="55" workbookViewId="0">
      <selection activeCell="ES59" sqref="ER1:ES1048576"/>
    </sheetView>
  </sheetViews>
  <sheetFormatPr defaultColWidth="9.140625" defaultRowHeight="15" x14ac:dyDescent="0.25"/>
  <cols>
    <col min="1" max="1" width="20" hidden="1" customWidth="1"/>
    <col min="2" max="2" width="37.7109375" hidden="1" customWidth="1"/>
    <col min="3" max="3" width="11" style="55" hidden="1" customWidth="1"/>
    <col min="4" max="4" width="26.5703125" hidden="1" customWidth="1"/>
    <col min="5" max="5" width="20.5703125" hidden="1" customWidth="1"/>
    <col min="6" max="6" width="17.5703125" style="55" hidden="1" customWidth="1"/>
    <col min="7" max="7" width="15" hidden="1" customWidth="1"/>
    <col min="8" max="8" width="33.140625" hidden="1" customWidth="1"/>
    <col min="9" max="9" width="13.5703125" style="55" hidden="1" customWidth="1"/>
    <col min="10" max="10" width="20" hidden="1" customWidth="1"/>
    <col min="11" max="11" width="17.85546875" style="32" hidden="1" customWidth="1"/>
    <col min="12" max="12" width="35.7109375" hidden="1" customWidth="1"/>
    <col min="13" max="13" width="10.7109375" style="55" hidden="1" customWidth="1"/>
    <col min="14" max="14" width="22" hidden="1" customWidth="1"/>
    <col min="15" max="15" width="29.140625" hidden="1" customWidth="1"/>
    <col min="16" max="16" width="9.140625" hidden="1" customWidth="1"/>
    <col min="17" max="17" width="12.5703125" hidden="1" customWidth="1"/>
    <col min="18" max="18" width="28.85546875" hidden="1" customWidth="1"/>
    <col min="19" max="22" width="15.85546875" hidden="1" customWidth="1"/>
    <col min="23" max="23" width="9.140625" hidden="1" customWidth="1"/>
    <col min="24" max="24" width="25.140625" hidden="1" customWidth="1"/>
    <col min="25" max="25" width="26.7109375" hidden="1" customWidth="1"/>
    <col min="26" max="26" width="24.140625" hidden="1" customWidth="1"/>
    <col min="27" max="27" width="25.28515625" hidden="1" customWidth="1"/>
    <col min="28" max="28" width="9.140625" hidden="1" customWidth="1"/>
    <col min="29" max="29" width="29.85546875" hidden="1" customWidth="1"/>
    <col min="30" max="30" width="12.42578125" style="55" hidden="1" customWidth="1"/>
    <col min="31" max="31" width="9.140625" hidden="1" customWidth="1"/>
    <col min="32" max="32" width="29.85546875" hidden="1" customWidth="1"/>
    <col min="33" max="33" width="14.7109375" style="55" hidden="1" customWidth="1"/>
    <col min="34" max="34" width="9.140625" hidden="1" customWidth="1"/>
    <col min="35" max="35" width="29.85546875" hidden="1" customWidth="1"/>
    <col min="36" max="36" width="12.85546875" style="55" hidden="1" customWidth="1"/>
    <col min="37" max="37" width="9.140625" hidden="1" customWidth="1"/>
    <col min="38" max="38" width="29.85546875" hidden="1" customWidth="1"/>
    <col min="39" max="39" width="10.7109375" style="55" hidden="1" customWidth="1"/>
    <col min="40" max="40" width="9.140625" hidden="1" customWidth="1"/>
    <col min="41" max="41" width="29.85546875" hidden="1" customWidth="1"/>
    <col min="42" max="42" width="11" style="55" hidden="1" customWidth="1"/>
    <col min="43" max="43" width="9.140625" hidden="1" customWidth="1"/>
    <col min="44" max="44" width="29.85546875" hidden="1" customWidth="1"/>
    <col min="45" max="45" width="11" style="55" hidden="1" customWidth="1"/>
    <col min="46" max="46" width="9.140625" hidden="1" customWidth="1"/>
    <col min="47" max="47" width="29.85546875" hidden="1" customWidth="1"/>
    <col min="48" max="48" width="10.7109375" style="55" hidden="1" customWidth="1"/>
    <col min="49" max="49" width="9.140625" hidden="1" customWidth="1"/>
    <col min="50" max="50" width="29.85546875" hidden="1" customWidth="1"/>
    <col min="51" max="51" width="10.5703125" style="55" hidden="1" customWidth="1"/>
    <col min="52" max="52" width="9.140625" hidden="1" customWidth="1"/>
    <col min="53" max="53" width="29.85546875" hidden="1" customWidth="1"/>
    <col min="54" max="54" width="13.28515625" style="55" hidden="1" customWidth="1"/>
    <col min="55" max="55" width="9.140625" hidden="1" customWidth="1"/>
    <col min="56" max="56" width="33.5703125" hidden="1" customWidth="1"/>
    <col min="57" max="57" width="14" style="55" hidden="1" customWidth="1"/>
    <col min="58" max="58" width="6.28515625" hidden="1" customWidth="1"/>
    <col min="59" max="59" width="29.85546875" hidden="1" customWidth="1"/>
    <col min="60" max="60" width="11.5703125" style="55" hidden="1" customWidth="1"/>
    <col min="61" max="61" width="9.140625" hidden="1" customWidth="1"/>
    <col min="62" max="62" width="29.85546875" hidden="1" customWidth="1"/>
    <col min="63" max="63" width="11.28515625" style="55" hidden="1" customWidth="1"/>
    <col min="64" max="64" width="9.140625" hidden="1" customWidth="1"/>
    <col min="65" max="65" width="29.85546875" hidden="1" customWidth="1"/>
    <col min="66" max="66" width="11" style="55" hidden="1" customWidth="1"/>
    <col min="67" max="67" width="11.28515625" hidden="1" customWidth="1"/>
    <col min="68" max="68" width="29.85546875" hidden="1" customWidth="1"/>
    <col min="69" max="69" width="11.85546875" style="55" hidden="1" customWidth="1"/>
    <col min="70" max="70" width="9.140625" hidden="1" customWidth="1"/>
    <col min="71" max="71" width="29.85546875" hidden="1" customWidth="1"/>
    <col min="72" max="72" width="12.42578125" style="55" hidden="1" customWidth="1"/>
    <col min="73" max="73" width="9.140625" hidden="1" customWidth="1"/>
    <col min="74" max="74" width="29.85546875" hidden="1" customWidth="1"/>
    <col min="75" max="75" width="11.5703125" style="55" hidden="1" customWidth="1"/>
    <col min="76" max="76" width="9.140625" hidden="1" customWidth="1"/>
    <col min="77" max="77" width="29.85546875" hidden="1" customWidth="1"/>
    <col min="78" max="78" width="10.7109375" style="55" hidden="1" customWidth="1"/>
    <col min="79" max="79" width="9.140625" hidden="1" customWidth="1"/>
    <col min="80" max="80" width="29.85546875" hidden="1" customWidth="1"/>
    <col min="81" max="81" width="11" style="55" hidden="1" customWidth="1"/>
    <col min="82" max="82" width="9.140625" hidden="1" customWidth="1"/>
    <col min="83" max="83" width="29.85546875" hidden="1" customWidth="1"/>
    <col min="84" max="84" width="14.28515625" style="55" hidden="1" customWidth="1"/>
    <col min="85" max="85" width="9.140625" hidden="1" customWidth="1"/>
    <col min="86" max="86" width="29.85546875" hidden="1" customWidth="1"/>
    <col min="87" max="87" width="11.140625" style="55" hidden="1" customWidth="1"/>
    <col min="88" max="88" width="9.140625" hidden="1" customWidth="1"/>
    <col min="89" max="89" width="29.85546875" hidden="1" customWidth="1"/>
    <col min="90" max="90" width="11.42578125" style="55" hidden="1" customWidth="1"/>
    <col min="91" max="91" width="9.140625" hidden="1" customWidth="1"/>
    <col min="92" max="92" width="29.85546875" hidden="1" customWidth="1"/>
    <col min="93" max="93" width="11.140625" style="55" hidden="1" customWidth="1"/>
    <col min="94" max="94" width="9.140625" hidden="1" customWidth="1"/>
    <col min="95" max="95" width="29.85546875" hidden="1" customWidth="1"/>
    <col min="96" max="96" width="11.140625" style="55" hidden="1" customWidth="1"/>
    <col min="97" max="97" width="9.140625" hidden="1" customWidth="1"/>
    <col min="98" max="98" width="34.140625" hidden="1" customWidth="1"/>
    <col min="99" max="99" width="11.85546875" style="55" hidden="1" customWidth="1"/>
    <col min="100" max="100" width="9.140625" hidden="1" customWidth="1"/>
    <col min="101" max="101" width="35.7109375" hidden="1" customWidth="1"/>
    <col min="102" max="102" width="11.42578125" style="55" hidden="1" customWidth="1"/>
    <col min="103" max="103" width="9.140625" hidden="1" customWidth="1"/>
    <col min="104" max="104" width="35.85546875" hidden="1" customWidth="1"/>
    <col min="105" max="105" width="10.7109375" style="55" hidden="1" customWidth="1"/>
    <col min="106" max="106" width="9.140625" hidden="1" customWidth="1"/>
    <col min="107" max="107" width="29.85546875" hidden="1" customWidth="1"/>
    <col min="108" max="108" width="12" style="55" hidden="1" customWidth="1"/>
    <col min="109" max="109" width="9.140625" hidden="1" customWidth="1"/>
    <col min="110" max="110" width="29.85546875" hidden="1" customWidth="1"/>
    <col min="111" max="111" width="11.42578125" style="55" hidden="1" customWidth="1"/>
    <col min="112" max="112" width="9.140625" style="55" hidden="1" customWidth="1"/>
    <col min="113" max="113" width="26.28515625" style="55" hidden="1" customWidth="1"/>
    <col min="114" max="114" width="15.28515625" style="55" hidden="1" customWidth="1"/>
    <col min="115" max="115" width="5.7109375" hidden="1" customWidth="1"/>
    <col min="116" max="116" width="8.7109375" style="55" hidden="1" customWidth="1"/>
    <col min="117" max="117" width="27" hidden="1" customWidth="1"/>
    <col min="118" max="118" width="15.140625" style="40" hidden="1" customWidth="1"/>
    <col min="119" max="122" width="19.5703125" style="40" hidden="1" customWidth="1"/>
    <col min="123" max="123" width="13.28515625" style="40" hidden="1" customWidth="1"/>
    <col min="124" max="124" width="20.7109375" style="40" hidden="1" customWidth="1"/>
    <col min="125" max="128" width="20.7109375" style="55" hidden="1" customWidth="1"/>
    <col min="129" max="130" width="20.7109375" hidden="1" customWidth="1"/>
    <col min="131" max="131" width="22.85546875" hidden="1" customWidth="1"/>
    <col min="132" max="132" width="22.28515625" hidden="1" customWidth="1"/>
    <col min="133" max="133" width="75.85546875" hidden="1" customWidth="1"/>
    <col min="134" max="134" width="10" style="55" customWidth="1"/>
    <col min="135" max="135" width="18.42578125" style="55" customWidth="1"/>
    <col min="136" max="136" width="15.140625" style="55" customWidth="1"/>
    <col min="137" max="137" width="16" style="55" customWidth="1"/>
    <col min="138" max="138" width="8.140625" style="40" customWidth="1"/>
    <col min="139" max="139" width="18.28515625" style="40" customWidth="1"/>
    <col min="140" max="140" width="14.140625" style="40" customWidth="1"/>
    <col min="141" max="141" width="17.7109375" style="40" customWidth="1"/>
    <col min="142" max="142" width="18.28515625" style="121" customWidth="1"/>
    <col min="143" max="143" width="15.28515625" style="121" customWidth="1"/>
    <col min="144" max="144" width="14.5703125" style="121" customWidth="1"/>
    <col min="145" max="145" width="12.140625" style="40" customWidth="1"/>
    <col min="146" max="146" width="10.5703125" style="40" customWidth="1"/>
    <col min="147" max="147" width="12.28515625" style="256" customWidth="1"/>
    <col min="148" max="148" width="13.28515625" style="178" customWidth="1"/>
    <col min="150" max="150" width="6.85546875" customWidth="1"/>
    <col min="151" max="151" width="24" customWidth="1"/>
    <col min="152" max="158" width="17.85546875" customWidth="1"/>
    <col min="159" max="159" width="15.5703125" customWidth="1"/>
    <col min="160" max="160" width="17.42578125" customWidth="1"/>
  </cols>
  <sheetData>
    <row r="1" spans="1:148" ht="24.95" hidden="1" customHeight="1" x14ac:dyDescent="0.3">
      <c r="H1" s="131" t="s">
        <v>0</v>
      </c>
      <c r="DL1" s="311" t="s">
        <v>436</v>
      </c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</row>
    <row r="2" spans="1:148" ht="24.95" hidden="1" customHeight="1" x14ac:dyDescent="0.3">
      <c r="H2" s="131"/>
      <c r="DL2" s="311"/>
      <c r="DM2" s="311"/>
      <c r="DN2" s="311"/>
      <c r="DO2" s="311"/>
      <c r="DP2" s="311"/>
      <c r="DQ2" s="311"/>
      <c r="DR2" s="311"/>
      <c r="DS2" s="311"/>
      <c r="DT2" s="311"/>
      <c r="DU2" s="311"/>
      <c r="DV2" s="311"/>
      <c r="DW2" s="311"/>
      <c r="DX2" s="311"/>
      <c r="DY2" s="311"/>
      <c r="DZ2" s="311"/>
      <c r="EA2" s="311"/>
      <c r="EB2" s="311"/>
      <c r="EC2" s="311"/>
    </row>
    <row r="3" spans="1:148" ht="24.95" hidden="1" customHeight="1" x14ac:dyDescent="0.35">
      <c r="H3" s="131"/>
      <c r="DL3" s="310"/>
      <c r="DM3" s="310"/>
      <c r="DN3" s="310"/>
      <c r="DO3" s="310"/>
      <c r="DP3" s="310"/>
      <c r="DQ3" s="310"/>
      <c r="DR3" s="310"/>
      <c r="DS3" s="310"/>
      <c r="DT3" s="310"/>
      <c r="DU3" s="310"/>
      <c r="DV3" s="310"/>
      <c r="DW3" s="310"/>
      <c r="DX3" s="310"/>
      <c r="DY3" s="310"/>
      <c r="DZ3" s="310"/>
      <c r="EA3" s="310"/>
      <c r="EB3" s="310"/>
      <c r="EC3" s="310"/>
    </row>
    <row r="4" spans="1:148" ht="24.95" hidden="1" customHeight="1" x14ac:dyDescent="0.25">
      <c r="B4" s="301" t="s">
        <v>322</v>
      </c>
      <c r="C4" s="301"/>
      <c r="D4" s="301"/>
      <c r="E4" s="301"/>
      <c r="F4" s="301"/>
      <c r="G4" s="301"/>
      <c r="H4" s="301"/>
      <c r="I4" s="301"/>
      <c r="P4" s="55"/>
      <c r="DL4" s="173" t="s">
        <v>92</v>
      </c>
      <c r="DM4" s="173"/>
      <c r="DN4" s="174"/>
      <c r="DO4" s="174"/>
      <c r="DP4" s="174"/>
      <c r="DQ4" s="174"/>
      <c r="DR4" s="174"/>
      <c r="DS4" s="174"/>
      <c r="DT4" s="173"/>
      <c r="DU4" s="174"/>
      <c r="DV4" s="174"/>
      <c r="DW4" s="174"/>
      <c r="DX4" s="174"/>
      <c r="DY4" s="174"/>
      <c r="DZ4" s="174"/>
      <c r="EA4" s="174"/>
      <c r="EB4" s="175"/>
      <c r="EC4" s="174" t="s">
        <v>445</v>
      </c>
    </row>
    <row r="5" spans="1:148" ht="24.95" hidden="1" customHeight="1" x14ac:dyDescent="0.25">
      <c r="B5" s="77" t="s">
        <v>65</v>
      </c>
      <c r="E5" s="77" t="s">
        <v>51</v>
      </c>
      <c r="H5" s="77" t="s">
        <v>66</v>
      </c>
      <c r="L5" s="77" t="s">
        <v>19</v>
      </c>
      <c r="O5" s="77" t="s">
        <v>53</v>
      </c>
      <c r="P5" s="55"/>
      <c r="R5" s="77" t="s">
        <v>329</v>
      </c>
      <c r="U5" s="77" t="s">
        <v>67</v>
      </c>
      <c r="AC5" s="77" t="s">
        <v>170</v>
      </c>
      <c r="AF5" s="77" t="s">
        <v>174</v>
      </c>
      <c r="AI5" s="77" t="s">
        <v>175</v>
      </c>
      <c r="AL5" s="77" t="s">
        <v>176</v>
      </c>
      <c r="AO5" s="77" t="s">
        <v>177</v>
      </c>
      <c r="AR5" s="77" t="s">
        <v>178</v>
      </c>
      <c r="AU5" s="77" t="s">
        <v>179</v>
      </c>
      <c r="AX5" s="77" t="s">
        <v>180</v>
      </c>
      <c r="BA5" s="77" t="s">
        <v>181</v>
      </c>
      <c r="BD5" s="77" t="s">
        <v>182</v>
      </c>
      <c r="BG5" s="77" t="s">
        <v>183</v>
      </c>
      <c r="BJ5" s="77" t="s">
        <v>184</v>
      </c>
      <c r="BM5" s="77" t="s">
        <v>185</v>
      </c>
      <c r="BO5" s="78" t="s">
        <v>299</v>
      </c>
      <c r="BP5" s="78" t="s">
        <v>187</v>
      </c>
      <c r="BS5" s="78" t="s">
        <v>188</v>
      </c>
      <c r="BV5" s="78" t="s">
        <v>189</v>
      </c>
      <c r="BY5" s="78" t="s">
        <v>291</v>
      </c>
      <c r="CB5" s="78" t="s">
        <v>292</v>
      </c>
      <c r="CE5" s="78" t="s">
        <v>190</v>
      </c>
      <c r="CH5" s="78" t="s">
        <v>191</v>
      </c>
      <c r="CK5" s="78" t="s">
        <v>303</v>
      </c>
      <c r="CN5" s="78" t="s">
        <v>192</v>
      </c>
      <c r="CQ5" s="78" t="s">
        <v>193</v>
      </c>
      <c r="CR5" s="129"/>
      <c r="CS5" s="130"/>
      <c r="CT5" s="78" t="s">
        <v>194</v>
      </c>
      <c r="CU5" s="129"/>
      <c r="CV5" s="130"/>
      <c r="CW5" s="78" t="s">
        <v>195</v>
      </c>
      <c r="CX5" s="129"/>
      <c r="CY5" s="130"/>
      <c r="CZ5" s="78" t="s">
        <v>196</v>
      </c>
      <c r="DA5" s="129"/>
      <c r="DB5" s="130"/>
      <c r="DC5" s="78" t="s">
        <v>197</v>
      </c>
      <c r="DD5" s="129"/>
      <c r="DE5" s="130"/>
      <c r="DF5" s="78" t="s">
        <v>304</v>
      </c>
      <c r="DI5" s="171" t="s">
        <v>251</v>
      </c>
      <c r="DN5" s="302" t="s">
        <v>93</v>
      </c>
      <c r="DO5" s="303"/>
      <c r="DP5" s="303"/>
      <c r="DQ5" s="303"/>
      <c r="DR5" s="303"/>
      <c r="DS5" s="304"/>
      <c r="DT5" s="305" t="s">
        <v>94</v>
      </c>
      <c r="DU5" s="305"/>
      <c r="DV5" s="305"/>
      <c r="DW5" s="305"/>
      <c r="DX5" s="305"/>
    </row>
    <row r="6" spans="1:148" ht="48" hidden="1" customHeight="1" x14ac:dyDescent="0.25">
      <c r="BO6" s="77" t="s">
        <v>300</v>
      </c>
      <c r="BP6" s="78" t="s">
        <v>186</v>
      </c>
      <c r="DL6" s="80" t="s">
        <v>95</v>
      </c>
      <c r="DM6" s="81" t="s">
        <v>96</v>
      </c>
      <c r="DN6" s="82" t="s">
        <v>97</v>
      </c>
      <c r="DO6" s="82" t="s">
        <v>98</v>
      </c>
      <c r="DP6" s="82" t="s">
        <v>99</v>
      </c>
      <c r="DQ6" s="82" t="s">
        <v>100</v>
      </c>
      <c r="DR6" s="82" t="s">
        <v>101</v>
      </c>
      <c r="DS6" s="82" t="s">
        <v>102</v>
      </c>
      <c r="DT6" s="13" t="s">
        <v>103</v>
      </c>
      <c r="DU6" s="14" t="s">
        <v>104</v>
      </c>
      <c r="DV6" s="83" t="s">
        <v>105</v>
      </c>
      <c r="DW6" s="15" t="s">
        <v>106</v>
      </c>
      <c r="DX6" s="84" t="s">
        <v>107</v>
      </c>
      <c r="DY6" s="85" t="s">
        <v>108</v>
      </c>
      <c r="DZ6" s="80" t="s">
        <v>109</v>
      </c>
      <c r="EA6" s="80" t="s">
        <v>110</v>
      </c>
      <c r="EB6" s="84" t="s">
        <v>111</v>
      </c>
      <c r="EC6" s="80" t="s">
        <v>112</v>
      </c>
      <c r="EE6" s="80" t="s">
        <v>95</v>
      </c>
      <c r="EF6" s="80" t="s">
        <v>96</v>
      </c>
      <c r="EG6" s="85" t="s">
        <v>108</v>
      </c>
      <c r="EH6" s="40" t="s">
        <v>112</v>
      </c>
    </row>
    <row r="7" spans="1:148" s="77" customFormat="1" ht="24.95" hidden="1" customHeight="1" x14ac:dyDescent="0.25">
      <c r="B7" s="77" t="s">
        <v>1</v>
      </c>
      <c r="C7" s="58" t="s">
        <v>2</v>
      </c>
      <c r="D7" s="189" t="e">
        <f>C12+C13+C38+C39+F12+F13+F39+F40+I12+I13+I14+I38+I39+I49+M29+M26+M27+M28+M30+M31+M45+M46+M55+#REF!+M67+M94+#REF!+M13+M14</f>
        <v>#REF!</v>
      </c>
      <c r="E7" s="77" t="s">
        <v>1</v>
      </c>
      <c r="F7" s="58" t="s">
        <v>2</v>
      </c>
      <c r="H7" s="77" t="s">
        <v>1</v>
      </c>
      <c r="I7" s="58" t="s">
        <v>2</v>
      </c>
      <c r="K7" s="33"/>
      <c r="L7" s="77" t="s">
        <v>1</v>
      </c>
      <c r="M7" s="58" t="s">
        <v>2</v>
      </c>
      <c r="O7" s="77" t="s">
        <v>1</v>
      </c>
      <c r="P7" s="58" t="s">
        <v>2</v>
      </c>
      <c r="AC7" s="77" t="s">
        <v>1</v>
      </c>
      <c r="AD7" s="58" t="s">
        <v>2</v>
      </c>
      <c r="AF7" s="77" t="s">
        <v>1</v>
      </c>
      <c r="AG7" s="58" t="s">
        <v>2</v>
      </c>
      <c r="AI7" s="77" t="s">
        <v>1</v>
      </c>
      <c r="AJ7" s="58" t="s">
        <v>2</v>
      </c>
      <c r="AL7" s="77" t="s">
        <v>1</v>
      </c>
      <c r="AM7" s="58" t="s">
        <v>2</v>
      </c>
      <c r="AO7" s="77" t="s">
        <v>1</v>
      </c>
      <c r="AP7" s="58" t="s">
        <v>2</v>
      </c>
      <c r="AR7" s="77" t="s">
        <v>1</v>
      </c>
      <c r="AS7" s="58" t="s">
        <v>2</v>
      </c>
      <c r="AU7" s="77" t="s">
        <v>1</v>
      </c>
      <c r="AV7" s="58" t="s">
        <v>2</v>
      </c>
      <c r="AX7" s="77" t="s">
        <v>1</v>
      </c>
      <c r="AY7" s="58" t="s">
        <v>2</v>
      </c>
      <c r="BA7" s="77" t="s">
        <v>1</v>
      </c>
      <c r="BB7" s="58" t="s">
        <v>2</v>
      </c>
      <c r="BD7" s="77" t="s">
        <v>1</v>
      </c>
      <c r="BE7" s="58" t="s">
        <v>2</v>
      </c>
      <c r="BG7" s="77" t="s">
        <v>1</v>
      </c>
      <c r="BH7" s="58" t="s">
        <v>2</v>
      </c>
      <c r="BJ7" s="77" t="s">
        <v>1</v>
      </c>
      <c r="BK7" s="58" t="s">
        <v>2</v>
      </c>
      <c r="BM7" s="77" t="s">
        <v>1</v>
      </c>
      <c r="BN7" s="58" t="s">
        <v>2</v>
      </c>
      <c r="BP7" s="77" t="s">
        <v>1</v>
      </c>
      <c r="BQ7" s="58" t="s">
        <v>2</v>
      </c>
      <c r="BS7" s="77" t="s">
        <v>1</v>
      </c>
      <c r="BT7" s="58" t="s">
        <v>2</v>
      </c>
      <c r="BV7" s="77" t="s">
        <v>1</v>
      </c>
      <c r="BW7" s="58" t="s">
        <v>2</v>
      </c>
      <c r="BY7" s="77" t="s">
        <v>1</v>
      </c>
      <c r="BZ7" s="58" t="s">
        <v>2</v>
      </c>
      <c r="CB7" s="77" t="s">
        <v>1</v>
      </c>
      <c r="CC7" s="58" t="s">
        <v>2</v>
      </c>
      <c r="CE7" s="77" t="s">
        <v>1</v>
      </c>
      <c r="CF7" s="58" t="s">
        <v>2</v>
      </c>
      <c r="CH7" s="77" t="s">
        <v>1</v>
      </c>
      <c r="CI7" s="58" t="s">
        <v>2</v>
      </c>
      <c r="CK7" s="77" t="s">
        <v>1</v>
      </c>
      <c r="CL7" s="58" t="s">
        <v>2</v>
      </c>
      <c r="CN7" s="77" t="s">
        <v>1</v>
      </c>
      <c r="CO7" s="58" t="s">
        <v>2</v>
      </c>
      <c r="CQ7" s="77" t="s">
        <v>1</v>
      </c>
      <c r="CR7" s="58" t="s">
        <v>2</v>
      </c>
      <c r="CT7" s="77" t="s">
        <v>1</v>
      </c>
      <c r="CU7" s="58" t="s">
        <v>2</v>
      </c>
      <c r="CW7" s="77" t="s">
        <v>1</v>
      </c>
      <c r="CX7" s="58" t="s">
        <v>2</v>
      </c>
      <c r="CZ7" s="77" t="s">
        <v>1</v>
      </c>
      <c r="DA7" s="58" t="s">
        <v>2</v>
      </c>
      <c r="DC7" s="77" t="s">
        <v>1</v>
      </c>
      <c r="DD7" s="58" t="s">
        <v>2</v>
      </c>
      <c r="DF7" s="77" t="s">
        <v>1</v>
      </c>
      <c r="DG7" s="58" t="s">
        <v>2</v>
      </c>
      <c r="DH7" s="58"/>
      <c r="DI7" s="77" t="s">
        <v>1</v>
      </c>
      <c r="DJ7" s="58" t="s">
        <v>2</v>
      </c>
      <c r="DL7" s="54"/>
      <c r="DM7" s="86"/>
      <c r="DN7" s="87" t="s">
        <v>113</v>
      </c>
      <c r="DO7" s="87" t="s">
        <v>114</v>
      </c>
      <c r="DP7" s="87" t="s">
        <v>115</v>
      </c>
      <c r="DQ7" s="87" t="s">
        <v>116</v>
      </c>
      <c r="DR7" s="87" t="s">
        <v>117</v>
      </c>
      <c r="DS7" s="82" t="s">
        <v>118</v>
      </c>
      <c r="DT7" s="16" t="s">
        <v>113</v>
      </c>
      <c r="DU7" s="17" t="s">
        <v>114</v>
      </c>
      <c r="DV7" s="88" t="s">
        <v>115</v>
      </c>
      <c r="DW7" s="18" t="s">
        <v>116</v>
      </c>
      <c r="DX7" s="197" t="s">
        <v>441</v>
      </c>
      <c r="DY7" s="89" t="s">
        <v>442</v>
      </c>
      <c r="DZ7" s="69" t="s">
        <v>443</v>
      </c>
      <c r="EA7" s="69" t="s">
        <v>444</v>
      </c>
      <c r="EB7" s="69" t="s">
        <v>119</v>
      </c>
      <c r="EC7" s="69" t="s">
        <v>119</v>
      </c>
      <c r="ED7" s="95"/>
      <c r="EE7" s="54"/>
      <c r="EF7" s="54"/>
      <c r="EG7" s="89" t="s">
        <v>442</v>
      </c>
      <c r="EH7" s="95"/>
      <c r="EI7" s="95"/>
      <c r="EJ7" s="95"/>
      <c r="EK7" s="95"/>
      <c r="EL7" s="70"/>
      <c r="EM7" s="70"/>
      <c r="EN7" s="70"/>
      <c r="EO7" s="95"/>
      <c r="EP7" s="95"/>
      <c r="EQ7" s="127"/>
      <c r="ER7" s="125"/>
    </row>
    <row r="8" spans="1:148" ht="24.95" hidden="1" customHeight="1" x14ac:dyDescent="0.25">
      <c r="Y8" s="55"/>
      <c r="AC8" s="3" t="s">
        <v>69</v>
      </c>
      <c r="AD8" s="4">
        <f>138.74-12.25</f>
        <v>126.49000000000001</v>
      </c>
      <c r="AE8" s="77"/>
      <c r="AF8" s="3" t="s">
        <v>69</v>
      </c>
      <c r="AG8" s="4">
        <f>138.74-12.25</f>
        <v>126.49000000000001</v>
      </c>
      <c r="AH8" s="77"/>
      <c r="AI8" s="98" t="s">
        <v>69</v>
      </c>
      <c r="AJ8" s="99">
        <f>138.74-12.25</f>
        <v>126.49000000000001</v>
      </c>
      <c r="AK8" s="77"/>
      <c r="AL8" s="98" t="s">
        <v>69</v>
      </c>
      <c r="AM8" s="99">
        <f>80.18-12</f>
        <v>68.180000000000007</v>
      </c>
      <c r="AN8" s="77"/>
      <c r="AO8" s="98" t="s">
        <v>69</v>
      </c>
      <c r="AP8" s="99">
        <f>138.74-12.25</f>
        <v>126.49000000000001</v>
      </c>
      <c r="AQ8" s="77"/>
      <c r="AR8" s="98" t="s">
        <v>69</v>
      </c>
      <c r="AS8" s="99">
        <f>80.18-12</f>
        <v>68.180000000000007</v>
      </c>
      <c r="AT8" s="77"/>
      <c r="AU8" s="98" t="s">
        <v>69</v>
      </c>
      <c r="AV8" s="99">
        <f>138.74-12.25</f>
        <v>126.49000000000001</v>
      </c>
      <c r="AW8" s="77"/>
      <c r="AX8" s="98" t="s">
        <v>69</v>
      </c>
      <c r="AY8" s="99">
        <f>80.18-12</f>
        <v>68.180000000000007</v>
      </c>
      <c r="AZ8" s="77"/>
      <c r="BA8" s="98" t="s">
        <v>69</v>
      </c>
      <c r="BB8" s="99">
        <f>138.74-12.25</f>
        <v>126.49000000000001</v>
      </c>
      <c r="BC8" s="77"/>
      <c r="BD8" s="98" t="s">
        <v>69</v>
      </c>
      <c r="BE8" s="99">
        <f>80.18-12</f>
        <v>68.180000000000007</v>
      </c>
      <c r="BF8" s="77"/>
      <c r="BG8" s="98" t="s">
        <v>69</v>
      </c>
      <c r="BH8" s="99">
        <f>138.74-12.25</f>
        <v>126.49000000000001</v>
      </c>
      <c r="BI8" s="77"/>
      <c r="BJ8" s="98" t="s">
        <v>69</v>
      </c>
      <c r="BK8" s="99">
        <f>80.18-12</f>
        <v>68.180000000000007</v>
      </c>
      <c r="BL8" s="77"/>
      <c r="BM8" s="98" t="s">
        <v>69</v>
      </c>
      <c r="BN8" s="99">
        <f>138.74-12.25</f>
        <v>126.49000000000001</v>
      </c>
      <c r="BO8" s="77"/>
      <c r="BP8" s="98" t="s">
        <v>69</v>
      </c>
      <c r="BQ8" s="99">
        <f>80.18-12.25</f>
        <v>67.930000000000007</v>
      </c>
      <c r="BR8" s="77"/>
      <c r="BS8" s="98" t="s">
        <v>69</v>
      </c>
      <c r="BT8" s="99">
        <f>138.74-12.25</f>
        <v>126.49000000000001</v>
      </c>
      <c r="BU8" s="77"/>
      <c r="BV8" s="98" t="s">
        <v>69</v>
      </c>
      <c r="BW8" s="99">
        <f>80.18-12.25</f>
        <v>67.930000000000007</v>
      </c>
      <c r="BX8" s="77"/>
      <c r="BY8" s="98" t="s">
        <v>69</v>
      </c>
      <c r="BZ8" s="99">
        <f>138.74-12.25</f>
        <v>126.49000000000001</v>
      </c>
      <c r="CA8" s="77"/>
      <c r="CB8" s="98" t="s">
        <v>69</v>
      </c>
      <c r="CC8" s="99">
        <f>80.18-12.25</f>
        <v>67.930000000000007</v>
      </c>
      <c r="CD8" s="77"/>
      <c r="CE8" s="98" t="s">
        <v>69</v>
      </c>
      <c r="CF8" s="99">
        <f>138.74-12.25</f>
        <v>126.49000000000001</v>
      </c>
      <c r="CG8" s="77"/>
      <c r="CH8" s="98" t="s">
        <v>69</v>
      </c>
      <c r="CI8" s="99">
        <f>80.18-12.25</f>
        <v>67.930000000000007</v>
      </c>
      <c r="CJ8" s="77"/>
      <c r="CK8" s="98" t="s">
        <v>69</v>
      </c>
      <c r="CL8" s="99">
        <f>138.74-12.25</f>
        <v>126.49000000000001</v>
      </c>
      <c r="CM8" s="77"/>
      <c r="CN8" s="98" t="s">
        <v>69</v>
      </c>
      <c r="CO8" s="99">
        <f>138.74-12.25</f>
        <v>126.49000000000001</v>
      </c>
      <c r="CP8" s="77"/>
      <c r="CQ8" s="98" t="s">
        <v>69</v>
      </c>
      <c r="CR8" s="99">
        <f>138.74-12.25</f>
        <v>126.49000000000001</v>
      </c>
      <c r="CS8" s="77"/>
      <c r="CT8" s="98" t="s">
        <v>69</v>
      </c>
      <c r="CU8" s="99">
        <f>138.74-12.25</f>
        <v>126.49000000000001</v>
      </c>
      <c r="CV8" s="77"/>
      <c r="CW8" s="98" t="s">
        <v>69</v>
      </c>
      <c r="CX8" s="99">
        <f>138.74-12.25</f>
        <v>126.49000000000001</v>
      </c>
      <c r="CY8" s="77"/>
      <c r="CZ8" s="98" t="s">
        <v>69</v>
      </c>
      <c r="DA8" s="99">
        <f>138.74-12.25</f>
        <v>126.49000000000001</v>
      </c>
      <c r="DB8" s="77"/>
      <c r="DC8" s="98" t="s">
        <v>69</v>
      </c>
      <c r="DD8" s="99">
        <f>138.74-12.25</f>
        <v>126.49000000000001</v>
      </c>
      <c r="DE8" s="77"/>
      <c r="DF8" s="98" t="s">
        <v>69</v>
      </c>
      <c r="DG8" s="99">
        <f>138.74-12.25</f>
        <v>126.49000000000001</v>
      </c>
      <c r="DI8" s="132" t="s">
        <v>252</v>
      </c>
      <c r="DJ8" s="133">
        <f>144.4-12.49</f>
        <v>131.91</v>
      </c>
      <c r="DL8" s="54">
        <v>1</v>
      </c>
      <c r="DM8" s="86" t="s">
        <v>120</v>
      </c>
      <c r="DN8" s="91">
        <v>0</v>
      </c>
      <c r="DO8" s="91">
        <v>0</v>
      </c>
      <c r="DP8" s="91">
        <v>0</v>
      </c>
      <c r="DQ8" s="91">
        <v>0</v>
      </c>
      <c r="DR8" s="91">
        <v>0</v>
      </c>
      <c r="DS8" s="91">
        <f t="shared" ref="DS8:DS39" si="0">DN8+DO8+DP8+DQ8+DR8</f>
        <v>0</v>
      </c>
      <c r="DT8" s="19">
        <v>0</v>
      </c>
      <c r="DU8" s="20">
        <v>0</v>
      </c>
      <c r="DV8" s="92">
        <v>0</v>
      </c>
      <c r="DW8" s="21">
        <v>0</v>
      </c>
      <c r="DX8" s="93">
        <f>DT8+DU8+DV8+DW8</f>
        <v>0</v>
      </c>
      <c r="DY8" s="94">
        <f>C38+C39+C40+C41+C42+C43+C44+C45+C46+C47+C48+C49</f>
        <v>327.45999999999998</v>
      </c>
      <c r="DZ8" s="93">
        <f>DX8+DY8</f>
        <v>327.45999999999998</v>
      </c>
      <c r="EA8" s="93">
        <f>DZ8*10.764</f>
        <v>3524.7794399999993</v>
      </c>
      <c r="EB8" s="93"/>
      <c r="EC8" s="86"/>
      <c r="EE8" s="54">
        <v>1</v>
      </c>
      <c r="EF8" s="54" t="s">
        <v>120</v>
      </c>
      <c r="EG8" s="94">
        <f>DY8+267.57-36.81+165.85-15.7</f>
        <v>708.37</v>
      </c>
      <c r="EH8" s="219" t="s">
        <v>448</v>
      </c>
      <c r="EI8" s="40">
        <v>708.37</v>
      </c>
    </row>
    <row r="9" spans="1:148" ht="24.95" hidden="1" customHeight="1" x14ac:dyDescent="0.25">
      <c r="A9" s="290" t="s">
        <v>52</v>
      </c>
      <c r="B9" s="48" t="s">
        <v>3</v>
      </c>
      <c r="C9" s="49">
        <v>66.290000000000006</v>
      </c>
      <c r="D9" s="290" t="s">
        <v>52</v>
      </c>
      <c r="E9" s="48" t="s">
        <v>3</v>
      </c>
      <c r="F9" s="60">
        <v>66.290000000000006</v>
      </c>
      <c r="G9" s="290" t="s">
        <v>52</v>
      </c>
      <c r="H9" s="48" t="s">
        <v>3</v>
      </c>
      <c r="I9" s="60">
        <v>66.290000000000006</v>
      </c>
      <c r="K9" s="51" t="s">
        <v>154</v>
      </c>
      <c r="L9" s="48" t="s">
        <v>138</v>
      </c>
      <c r="M9" s="49">
        <v>38.049999999999997</v>
      </c>
      <c r="N9" s="58" t="s">
        <v>52</v>
      </c>
      <c r="O9" s="48" t="s">
        <v>154</v>
      </c>
      <c r="P9" s="60">
        <v>1265.8900000000001</v>
      </c>
      <c r="R9" s="48" t="s">
        <v>154</v>
      </c>
      <c r="S9" s="49">
        <v>724.91</v>
      </c>
      <c r="T9" s="196" t="s">
        <v>326</v>
      </c>
      <c r="U9" s="160" t="s">
        <v>422</v>
      </c>
      <c r="V9" s="30">
        <f>211.73-5.28</f>
        <v>206.45</v>
      </c>
      <c r="AC9" s="3" t="s">
        <v>70</v>
      </c>
      <c r="AD9" s="4">
        <f>138.75-12</f>
        <v>126.75</v>
      </c>
      <c r="AE9" s="77"/>
      <c r="AF9" s="3" t="s">
        <v>70</v>
      </c>
      <c r="AG9" s="4">
        <f>138.75-12</f>
        <v>126.75</v>
      </c>
      <c r="AH9" s="77"/>
      <c r="AI9" s="98" t="s">
        <v>70</v>
      </c>
      <c r="AJ9" s="99">
        <f>138.75-12</f>
        <v>126.75</v>
      </c>
      <c r="AK9" s="77"/>
      <c r="AL9" s="98" t="s">
        <v>70</v>
      </c>
      <c r="AM9" s="99">
        <f>80.18-12</f>
        <v>68.180000000000007</v>
      </c>
      <c r="AN9" s="77"/>
      <c r="AO9" s="98" t="s">
        <v>70</v>
      </c>
      <c r="AP9" s="99">
        <f>138.75-12</f>
        <v>126.75</v>
      </c>
      <c r="AQ9" s="77"/>
      <c r="AR9" s="98" t="s">
        <v>70</v>
      </c>
      <c r="AS9" s="99">
        <f>80.18-12</f>
        <v>68.180000000000007</v>
      </c>
      <c r="AT9" s="77"/>
      <c r="AU9" s="98" t="s">
        <v>70</v>
      </c>
      <c r="AV9" s="99">
        <f>138.75-12</f>
        <v>126.75</v>
      </c>
      <c r="AW9" s="77"/>
      <c r="AX9" s="98" t="s">
        <v>70</v>
      </c>
      <c r="AY9" s="99">
        <f>80.18-12</f>
        <v>68.180000000000007</v>
      </c>
      <c r="AZ9" s="77"/>
      <c r="BA9" s="98" t="s">
        <v>70</v>
      </c>
      <c r="BB9" s="99">
        <f>138.75-12</f>
        <v>126.75</v>
      </c>
      <c r="BC9" s="77"/>
      <c r="BD9" s="98" t="s">
        <v>70</v>
      </c>
      <c r="BE9" s="99">
        <f>80.18-12</f>
        <v>68.180000000000007</v>
      </c>
      <c r="BF9" s="77"/>
      <c r="BG9" s="98" t="s">
        <v>70</v>
      </c>
      <c r="BH9" s="99">
        <f>138.75-12</f>
        <v>126.75</v>
      </c>
      <c r="BI9" s="77"/>
      <c r="BJ9" s="98" t="s">
        <v>70</v>
      </c>
      <c r="BK9" s="99">
        <f>138.75-12</f>
        <v>126.75</v>
      </c>
      <c r="BL9" s="77"/>
      <c r="BM9" s="98" t="s">
        <v>70</v>
      </c>
      <c r="BN9" s="99">
        <f>138.75-12</f>
        <v>126.75</v>
      </c>
      <c r="BO9" s="77"/>
      <c r="BP9" s="98" t="s">
        <v>70</v>
      </c>
      <c r="BQ9" s="99">
        <f>138.75-12</f>
        <v>126.75</v>
      </c>
      <c r="BR9" s="77"/>
      <c r="BS9" s="98" t="s">
        <v>70</v>
      </c>
      <c r="BT9" s="99">
        <f>138.75-12</f>
        <v>126.75</v>
      </c>
      <c r="BU9" s="77"/>
      <c r="BV9" s="98" t="s">
        <v>70</v>
      </c>
      <c r="BW9" s="99">
        <f>138.75-12</f>
        <v>126.75</v>
      </c>
      <c r="BX9" s="77"/>
      <c r="BY9" s="98" t="s">
        <v>70</v>
      </c>
      <c r="BZ9" s="99">
        <f>138.75-12</f>
        <v>126.75</v>
      </c>
      <c r="CA9" s="77"/>
      <c r="CB9" s="98" t="s">
        <v>70</v>
      </c>
      <c r="CC9" s="99">
        <f>138.75-12</f>
        <v>126.75</v>
      </c>
      <c r="CD9" s="77"/>
      <c r="CE9" s="98" t="s">
        <v>70</v>
      </c>
      <c r="CF9" s="99">
        <f>138.75-12</f>
        <v>126.75</v>
      </c>
      <c r="CG9" s="77"/>
      <c r="CH9" s="98" t="s">
        <v>70</v>
      </c>
      <c r="CI9" s="99">
        <f>138.75-12</f>
        <v>126.75</v>
      </c>
      <c r="CJ9" s="77"/>
      <c r="CK9" s="98"/>
      <c r="CL9" s="99"/>
      <c r="CM9" s="77"/>
      <c r="CN9" s="98"/>
      <c r="CO9" s="99"/>
      <c r="CP9" s="77"/>
      <c r="CQ9" s="98"/>
      <c r="CR9" s="99"/>
      <c r="CS9" s="77"/>
      <c r="CT9" s="98"/>
      <c r="CU9" s="99"/>
      <c r="CV9" s="77"/>
      <c r="CW9" s="98"/>
      <c r="CX9" s="99"/>
      <c r="CY9" s="77"/>
      <c r="CZ9" s="98"/>
      <c r="DA9" s="99"/>
      <c r="DB9" s="77"/>
      <c r="DC9" s="98"/>
      <c r="DD9" s="99"/>
      <c r="DE9" s="77"/>
      <c r="DF9" s="98"/>
      <c r="DG9" s="99"/>
      <c r="DI9" s="132" t="s">
        <v>253</v>
      </c>
      <c r="DJ9" s="133">
        <v>42.09</v>
      </c>
      <c r="DL9" s="54">
        <f>DL8+1</f>
        <v>2</v>
      </c>
      <c r="DM9" s="86" t="s">
        <v>121</v>
      </c>
      <c r="DN9" s="91">
        <v>0</v>
      </c>
      <c r="DO9" s="97">
        <v>0</v>
      </c>
      <c r="DP9" s="91">
        <v>0</v>
      </c>
      <c r="DQ9" s="91">
        <v>0</v>
      </c>
      <c r="DR9" s="91">
        <v>0</v>
      </c>
      <c r="DS9" s="91">
        <f t="shared" si="0"/>
        <v>0</v>
      </c>
      <c r="DT9" s="19">
        <v>0</v>
      </c>
      <c r="DU9" s="20">
        <v>0</v>
      </c>
      <c r="DV9" s="92">
        <v>0</v>
      </c>
      <c r="DW9" s="21">
        <v>0</v>
      </c>
      <c r="DX9" s="93">
        <f t="shared" ref="DX9:DX39" si="1">DT9+DU9+DV9+DW9</f>
        <v>0</v>
      </c>
      <c r="DY9" s="94">
        <f>F39+F40+F41+F42+F43+F44+F45+F46+F47+F48+F49+F50+F51</f>
        <v>535.22</v>
      </c>
      <c r="DZ9" s="93">
        <f t="shared" ref="DZ9:DZ39" si="2">DX9+DY9</f>
        <v>535.22</v>
      </c>
      <c r="EA9" s="93">
        <f t="shared" ref="EA9:EA39" si="3">DZ9*10.764</f>
        <v>5761.10808</v>
      </c>
      <c r="EB9" s="93"/>
      <c r="EC9" s="86"/>
      <c r="EE9" s="54">
        <f>EE8+1</f>
        <v>2</v>
      </c>
      <c r="EF9" s="54" t="s">
        <v>121</v>
      </c>
      <c r="EG9" s="94">
        <f>DY9+267.57-36.81+165.85-15.7</f>
        <v>916.13</v>
      </c>
      <c r="EH9" s="219"/>
      <c r="EI9" s="40">
        <f>1540-161.26</f>
        <v>1378.74</v>
      </c>
    </row>
    <row r="10" spans="1:148" ht="24.95" hidden="1" customHeight="1" x14ac:dyDescent="0.25">
      <c r="A10" s="290"/>
      <c r="B10" s="48" t="s">
        <v>4</v>
      </c>
      <c r="C10" s="49">
        <v>-9.4600000000000009</v>
      </c>
      <c r="D10" s="290"/>
      <c r="E10" s="48" t="s">
        <v>4</v>
      </c>
      <c r="F10" s="60">
        <v>-9.68</v>
      </c>
      <c r="G10" s="290"/>
      <c r="H10" s="48" t="s">
        <v>4</v>
      </c>
      <c r="I10" s="60">
        <v>-9.74</v>
      </c>
      <c r="K10" s="34"/>
      <c r="L10" s="48" t="s">
        <v>153</v>
      </c>
      <c r="M10" s="49">
        <v>13.71</v>
      </c>
      <c r="N10" s="47" t="s">
        <v>158</v>
      </c>
      <c r="O10" s="48" t="s">
        <v>4</v>
      </c>
      <c r="P10" s="49">
        <v>-7.41</v>
      </c>
      <c r="R10" s="48" t="s">
        <v>160</v>
      </c>
      <c r="S10" s="49">
        <v>294.64</v>
      </c>
      <c r="T10" s="55"/>
      <c r="U10" s="55"/>
      <c r="V10" s="55"/>
      <c r="AC10" s="3" t="s">
        <v>71</v>
      </c>
      <c r="AD10" s="4">
        <f>138.75-12.24</f>
        <v>126.51</v>
      </c>
      <c r="AE10" s="77"/>
      <c r="AF10" s="3" t="s">
        <v>71</v>
      </c>
      <c r="AG10" s="4">
        <f>138.75-12.24</f>
        <v>126.51</v>
      </c>
      <c r="AH10" s="77"/>
      <c r="AI10" s="98" t="s">
        <v>71</v>
      </c>
      <c r="AJ10" s="99">
        <f>138.75-12.24</f>
        <v>126.51</v>
      </c>
      <c r="AK10" s="77"/>
      <c r="AL10" s="98" t="s">
        <v>71</v>
      </c>
      <c r="AM10" s="99">
        <f>138.75-12.24</f>
        <v>126.51</v>
      </c>
      <c r="AN10" s="77"/>
      <c r="AO10" s="98" t="s">
        <v>71</v>
      </c>
      <c r="AP10" s="99">
        <f>138.75-12.24</f>
        <v>126.51</v>
      </c>
      <c r="AQ10" s="77"/>
      <c r="AR10" s="98" t="s">
        <v>71</v>
      </c>
      <c r="AS10" s="99">
        <f>138.75-12.24</f>
        <v>126.51</v>
      </c>
      <c r="AT10" s="77"/>
      <c r="AU10" s="98" t="s">
        <v>71</v>
      </c>
      <c r="AV10" s="99">
        <f>138.75-12.24</f>
        <v>126.51</v>
      </c>
      <c r="AW10" s="77"/>
      <c r="AX10" s="98" t="s">
        <v>71</v>
      </c>
      <c r="AY10" s="99">
        <f>138.75-12.24</f>
        <v>126.51</v>
      </c>
      <c r="AZ10" s="77"/>
      <c r="BA10" s="98" t="s">
        <v>71</v>
      </c>
      <c r="BB10" s="99">
        <f>138.75-12.24</f>
        <v>126.51</v>
      </c>
      <c r="BC10" s="77"/>
      <c r="BD10" s="98" t="s">
        <v>71</v>
      </c>
      <c r="BE10" s="99">
        <f>138.75-12.24</f>
        <v>126.51</v>
      </c>
      <c r="BF10" s="77"/>
      <c r="BG10" s="98"/>
      <c r="BH10" s="99"/>
      <c r="BI10" s="77"/>
      <c r="BJ10" s="98"/>
      <c r="BK10" s="99"/>
      <c r="BL10" s="77"/>
      <c r="BM10" s="98"/>
      <c r="BN10" s="99"/>
      <c r="BO10" s="77"/>
      <c r="BP10" s="98"/>
      <c r="BQ10" s="99"/>
      <c r="BR10" s="77"/>
      <c r="BS10" s="98"/>
      <c r="BT10" s="99"/>
      <c r="BU10" s="77"/>
      <c r="BV10" s="98"/>
      <c r="BW10" s="99"/>
      <c r="BX10" s="77"/>
      <c r="BY10" s="98"/>
      <c r="BZ10" s="99"/>
      <c r="CA10" s="77"/>
      <c r="CB10" s="98"/>
      <c r="CC10" s="99"/>
      <c r="CD10" s="77"/>
      <c r="CE10" s="98"/>
      <c r="CF10" s="99"/>
      <c r="CG10" s="77"/>
      <c r="CH10" s="98"/>
      <c r="CI10" s="99"/>
      <c r="CJ10" s="77"/>
      <c r="CK10" s="98"/>
      <c r="CL10" s="99"/>
      <c r="CM10" s="77"/>
      <c r="CN10" s="98"/>
      <c r="CO10" s="99"/>
      <c r="CP10" s="77"/>
      <c r="CQ10" s="98"/>
      <c r="CR10" s="99"/>
      <c r="CS10" s="77"/>
      <c r="CT10" s="98"/>
      <c r="CU10" s="99"/>
      <c r="CV10" s="77"/>
      <c r="CW10" s="98"/>
      <c r="CX10" s="99"/>
      <c r="CY10" s="77"/>
      <c r="CZ10" s="98"/>
      <c r="DA10" s="99"/>
      <c r="DB10" s="77"/>
      <c r="DC10" s="98"/>
      <c r="DD10" s="99"/>
      <c r="DE10" s="77"/>
      <c r="DF10" s="98"/>
      <c r="DG10" s="99"/>
      <c r="DI10" s="132" t="s">
        <v>130</v>
      </c>
      <c r="DJ10" s="133">
        <v>56.41</v>
      </c>
      <c r="DL10" s="54">
        <f t="shared" ref="DL10:DL38" si="4">DL9+1</f>
        <v>3</v>
      </c>
      <c r="DM10" s="86" t="s">
        <v>122</v>
      </c>
      <c r="DN10" s="91">
        <v>0</v>
      </c>
      <c r="DO10" s="91">
        <v>0</v>
      </c>
      <c r="DP10" s="91">
        <v>0</v>
      </c>
      <c r="DQ10" s="91">
        <v>0</v>
      </c>
      <c r="DR10" s="91">
        <v>0</v>
      </c>
      <c r="DS10" s="91">
        <f t="shared" si="0"/>
        <v>0</v>
      </c>
      <c r="DT10" s="19">
        <v>0</v>
      </c>
      <c r="DU10" s="20">
        <v>0</v>
      </c>
      <c r="DV10" s="92">
        <v>0</v>
      </c>
      <c r="DW10" s="21">
        <v>0</v>
      </c>
      <c r="DX10" s="93">
        <f t="shared" si="1"/>
        <v>0</v>
      </c>
      <c r="DY10" s="94">
        <f>I38+I39+I40+I41+I42+I43+I44+I45+I46+I47+I48+I49+I52</f>
        <v>842.86</v>
      </c>
      <c r="DZ10" s="93">
        <f t="shared" si="2"/>
        <v>842.86</v>
      </c>
      <c r="EA10" s="93">
        <f t="shared" si="3"/>
        <v>9072.5450399999991</v>
      </c>
      <c r="EB10" s="93"/>
      <c r="EC10" s="86"/>
      <c r="EE10" s="54">
        <f t="shared" ref="EE10:EE38" si="5">EE9+1</f>
        <v>3</v>
      </c>
      <c r="EF10" s="54" t="s">
        <v>122</v>
      </c>
      <c r="EG10" s="94">
        <f>DY10+267.57-36.81+165.85-15.7</f>
        <v>1223.77</v>
      </c>
      <c r="EH10" s="219"/>
      <c r="EI10" s="40">
        <f>817.65-107.88</f>
        <v>709.77</v>
      </c>
    </row>
    <row r="11" spans="1:148" ht="39.75" hidden="1" customHeight="1" x14ac:dyDescent="0.25">
      <c r="A11" s="290"/>
      <c r="B11" s="48" t="s">
        <v>8</v>
      </c>
      <c r="C11" s="49">
        <v>10.52</v>
      </c>
      <c r="D11" s="290"/>
      <c r="E11" s="48" t="s">
        <v>8</v>
      </c>
      <c r="F11" s="49">
        <v>10.52</v>
      </c>
      <c r="G11" s="290"/>
      <c r="H11" s="48" t="s">
        <v>8</v>
      </c>
      <c r="I11" s="49">
        <v>10.52</v>
      </c>
      <c r="K11" s="34"/>
      <c r="L11" s="48" t="s">
        <v>3</v>
      </c>
      <c r="M11" s="60">
        <v>50.75</v>
      </c>
      <c r="N11" s="47"/>
      <c r="O11" s="48" t="s">
        <v>156</v>
      </c>
      <c r="P11" s="49">
        <v>324.82</v>
      </c>
      <c r="R11" s="48" t="s">
        <v>4</v>
      </c>
      <c r="S11" s="49">
        <v>-9.9700000000000006</v>
      </c>
      <c r="T11" s="55"/>
      <c r="U11" s="55"/>
      <c r="V11" s="55"/>
      <c r="AC11" s="3"/>
      <c r="AD11" s="4"/>
      <c r="AE11" s="77"/>
      <c r="AF11" s="3" t="s">
        <v>130</v>
      </c>
      <c r="AG11" s="4">
        <v>58.52</v>
      </c>
      <c r="AH11" s="77"/>
      <c r="AI11" s="98" t="s">
        <v>130</v>
      </c>
      <c r="AJ11" s="99">
        <v>58.52</v>
      </c>
      <c r="AK11" s="77"/>
      <c r="AL11" s="98" t="s">
        <v>130</v>
      </c>
      <c r="AM11" s="99">
        <v>56.48</v>
      </c>
      <c r="AN11" s="77"/>
      <c r="AO11" s="98" t="s">
        <v>130</v>
      </c>
      <c r="AP11" s="99">
        <v>56.48</v>
      </c>
      <c r="AQ11" s="77"/>
      <c r="AR11" s="98" t="s">
        <v>130</v>
      </c>
      <c r="AS11" s="99">
        <v>56.48</v>
      </c>
      <c r="AT11" s="77"/>
      <c r="AU11" s="98" t="s">
        <v>130</v>
      </c>
      <c r="AV11" s="99">
        <v>56.48</v>
      </c>
      <c r="AW11" s="77"/>
      <c r="AX11" s="98" t="s">
        <v>130</v>
      </c>
      <c r="AY11" s="99">
        <v>56.48</v>
      </c>
      <c r="AZ11" s="77"/>
      <c r="BA11" s="98" t="s">
        <v>130</v>
      </c>
      <c r="BB11" s="99">
        <v>56.48</v>
      </c>
      <c r="BC11" s="77"/>
      <c r="BD11" s="98" t="s">
        <v>130</v>
      </c>
      <c r="BE11" s="99">
        <v>56.48</v>
      </c>
      <c r="BF11" s="77"/>
      <c r="BG11" s="98" t="s">
        <v>130</v>
      </c>
      <c r="BH11" s="99">
        <v>56.48</v>
      </c>
      <c r="BI11" s="77"/>
      <c r="BJ11" s="98" t="s">
        <v>130</v>
      </c>
      <c r="BK11" s="99">
        <v>56.48</v>
      </c>
      <c r="BL11" s="77"/>
      <c r="BM11" s="98" t="s">
        <v>130</v>
      </c>
      <c r="BN11" s="99">
        <v>56.48</v>
      </c>
      <c r="BO11" s="77"/>
      <c r="BP11" s="98" t="s">
        <v>130</v>
      </c>
      <c r="BQ11" s="99">
        <v>54.88</v>
      </c>
      <c r="BR11" s="77"/>
      <c r="BS11" s="98" t="s">
        <v>130</v>
      </c>
      <c r="BT11" s="99">
        <v>56.48</v>
      </c>
      <c r="BU11" s="77"/>
      <c r="BV11" s="98" t="s">
        <v>130</v>
      </c>
      <c r="BW11" s="99">
        <v>54.88</v>
      </c>
      <c r="BX11" s="77"/>
      <c r="BY11" s="98" t="s">
        <v>130</v>
      </c>
      <c r="BZ11" s="99">
        <v>56.48</v>
      </c>
      <c r="CA11" s="77"/>
      <c r="CB11" s="98" t="s">
        <v>130</v>
      </c>
      <c r="CC11" s="99">
        <v>54.88</v>
      </c>
      <c r="CD11" s="77"/>
      <c r="CE11" s="98" t="s">
        <v>130</v>
      </c>
      <c r="CF11" s="99">
        <v>56.48</v>
      </c>
      <c r="CG11" s="77"/>
      <c r="CH11" s="98" t="s">
        <v>130</v>
      </c>
      <c r="CI11" s="99">
        <v>54.88</v>
      </c>
      <c r="CJ11" s="77"/>
      <c r="CK11" s="98" t="s">
        <v>130</v>
      </c>
      <c r="CL11" s="99">
        <v>54.88</v>
      </c>
      <c r="CM11" s="77"/>
      <c r="CN11" s="98" t="s">
        <v>130</v>
      </c>
      <c r="CO11" s="99">
        <v>54.88</v>
      </c>
      <c r="CP11" s="77"/>
      <c r="CQ11" s="98" t="s">
        <v>130</v>
      </c>
      <c r="CR11" s="99">
        <v>54.88</v>
      </c>
      <c r="CS11" s="77"/>
      <c r="CT11" s="98" t="s">
        <v>130</v>
      </c>
      <c r="CU11" s="99">
        <v>54.88</v>
      </c>
      <c r="CV11" s="77"/>
      <c r="CW11" s="98" t="s">
        <v>130</v>
      </c>
      <c r="CX11" s="99">
        <v>54.88</v>
      </c>
      <c r="CY11" s="77"/>
      <c r="CZ11" s="98" t="s">
        <v>130</v>
      </c>
      <c r="DA11" s="99">
        <v>54.88</v>
      </c>
      <c r="DB11" s="77"/>
      <c r="DC11" s="98" t="s">
        <v>130</v>
      </c>
      <c r="DD11" s="99">
        <v>54.88</v>
      </c>
      <c r="DE11" s="77"/>
      <c r="DF11" s="98" t="s">
        <v>130</v>
      </c>
      <c r="DG11" s="99">
        <v>54.88</v>
      </c>
      <c r="DI11" s="132" t="s">
        <v>4</v>
      </c>
      <c r="DJ11" s="133">
        <v>-3.92</v>
      </c>
      <c r="DL11" s="54">
        <f t="shared" si="4"/>
        <v>4</v>
      </c>
      <c r="DM11" s="86" t="s">
        <v>19</v>
      </c>
      <c r="DN11" s="91">
        <f>AD69</f>
        <v>1001.44</v>
      </c>
      <c r="DO11" s="91" t="e">
        <f>#REF!</f>
        <v>#REF!</v>
      </c>
      <c r="DP11" s="91">
        <f>AD58</f>
        <v>0</v>
      </c>
      <c r="DQ11" s="91">
        <v>0</v>
      </c>
      <c r="DR11" s="91">
        <f>AD49</f>
        <v>0</v>
      </c>
      <c r="DS11" s="91" t="e">
        <f t="shared" si="0"/>
        <v>#REF!</v>
      </c>
      <c r="DT11" s="19" t="e">
        <f>#REF!</f>
        <v>#REF!</v>
      </c>
      <c r="DU11" s="97" t="s">
        <v>258</v>
      </c>
      <c r="DV11" s="97" t="s">
        <v>258</v>
      </c>
      <c r="DW11" s="97" t="s">
        <v>258</v>
      </c>
      <c r="DX11" s="93" t="e">
        <f>DT11</f>
        <v>#REF!</v>
      </c>
      <c r="DY11" s="94">
        <f>AD37</f>
        <v>1705.7199999999998</v>
      </c>
      <c r="DZ11" s="93" t="e">
        <f t="shared" si="2"/>
        <v>#REF!</v>
      </c>
      <c r="EA11" s="93" t="e">
        <f t="shared" si="3"/>
        <v>#REF!</v>
      </c>
      <c r="EB11" s="93"/>
      <c r="EC11" s="86"/>
      <c r="EE11" s="54">
        <f t="shared" si="5"/>
        <v>4</v>
      </c>
      <c r="EF11" s="54" t="s">
        <v>19</v>
      </c>
      <c r="EG11" s="94">
        <f>DY11</f>
        <v>1705.7199999999998</v>
      </c>
      <c r="EH11" s="199" t="s">
        <v>447</v>
      </c>
      <c r="EI11" s="96">
        <f>1771.1-72.09</f>
        <v>1699.01</v>
      </c>
      <c r="EJ11" s="96"/>
      <c r="EK11" s="96"/>
      <c r="EL11" s="41"/>
      <c r="EM11" s="41"/>
      <c r="EN11" s="41"/>
      <c r="EO11" s="96"/>
      <c r="EP11" s="96"/>
    </row>
    <row r="12" spans="1:148" ht="40.5" hidden="1" customHeight="1" x14ac:dyDescent="0.4">
      <c r="A12" s="46" t="s">
        <v>50</v>
      </c>
      <c r="B12" s="27" t="s">
        <v>5</v>
      </c>
      <c r="C12" s="2">
        <v>104.01</v>
      </c>
      <c r="D12" s="31"/>
      <c r="E12" s="27" t="s">
        <v>5</v>
      </c>
      <c r="F12" s="2">
        <v>104.01</v>
      </c>
      <c r="G12" s="31"/>
      <c r="H12" s="1" t="s">
        <v>17</v>
      </c>
      <c r="I12" s="2">
        <v>37.36</v>
      </c>
      <c r="K12" s="34"/>
      <c r="L12" s="48" t="s">
        <v>4</v>
      </c>
      <c r="M12" s="60">
        <v>-9.4499999999999993</v>
      </c>
      <c r="N12" s="47"/>
      <c r="O12" s="48" t="s">
        <v>4</v>
      </c>
      <c r="P12" s="49">
        <v>-20.71</v>
      </c>
      <c r="R12" s="48" t="s">
        <v>159</v>
      </c>
      <c r="S12" s="49">
        <v>13.84</v>
      </c>
      <c r="T12" s="55"/>
      <c r="U12" s="55"/>
      <c r="V12" s="55"/>
      <c r="X12" s="291" t="s">
        <v>169</v>
      </c>
      <c r="Y12" s="292"/>
      <c r="Z12" s="293"/>
      <c r="AC12" s="3" t="s">
        <v>22</v>
      </c>
      <c r="AD12" s="4">
        <v>68.61</v>
      </c>
      <c r="AF12" s="3" t="s">
        <v>4</v>
      </c>
      <c r="AG12" s="4">
        <v>-5.39</v>
      </c>
      <c r="AI12" s="98" t="s">
        <v>4</v>
      </c>
      <c r="AJ12" s="99">
        <v>-5.39</v>
      </c>
      <c r="AL12" s="98" t="s">
        <v>4</v>
      </c>
      <c r="AM12" s="99">
        <v>-2.6</v>
      </c>
      <c r="AO12" s="98" t="s">
        <v>4</v>
      </c>
      <c r="AP12" s="99">
        <v>-2.6</v>
      </c>
      <c r="AR12" s="98" t="s">
        <v>4</v>
      </c>
      <c r="AS12" s="99">
        <v>-2.6</v>
      </c>
      <c r="AU12" s="98" t="s">
        <v>4</v>
      </c>
      <c r="AV12" s="99">
        <v>-2.6</v>
      </c>
      <c r="AX12" s="98" t="s">
        <v>4</v>
      </c>
      <c r="AY12" s="99">
        <v>-2.6</v>
      </c>
      <c r="BA12" s="98" t="s">
        <v>4</v>
      </c>
      <c r="BB12" s="99">
        <v>-2.6</v>
      </c>
      <c r="BD12" s="98" t="s">
        <v>4</v>
      </c>
      <c r="BE12" s="99">
        <v>-2.6</v>
      </c>
      <c r="BG12" s="98" t="s">
        <v>4</v>
      </c>
      <c r="BH12" s="99">
        <v>-2.6</v>
      </c>
      <c r="BJ12" s="98" t="s">
        <v>4</v>
      </c>
      <c r="BK12" s="99">
        <v>-2.6</v>
      </c>
      <c r="BM12" s="98" t="s">
        <v>4</v>
      </c>
      <c r="BN12" s="99">
        <v>-2.6</v>
      </c>
      <c r="BP12" s="98" t="s">
        <v>4</v>
      </c>
      <c r="BQ12" s="99">
        <v>-2.6</v>
      </c>
      <c r="BS12" s="98" t="s">
        <v>4</v>
      </c>
      <c r="BT12" s="99">
        <v>-2.6</v>
      </c>
      <c r="BV12" s="98" t="s">
        <v>4</v>
      </c>
      <c r="BW12" s="99">
        <v>-2.6</v>
      </c>
      <c r="BY12" s="98" t="s">
        <v>4</v>
      </c>
      <c r="BZ12" s="99">
        <v>-2.6</v>
      </c>
      <c r="CB12" s="98" t="s">
        <v>4</v>
      </c>
      <c r="CC12" s="99">
        <v>-2.6</v>
      </c>
      <c r="CE12" s="98" t="s">
        <v>4</v>
      </c>
      <c r="CF12" s="99">
        <v>-2.6</v>
      </c>
      <c r="CH12" s="98" t="s">
        <v>4</v>
      </c>
      <c r="CI12" s="99">
        <v>-2.6</v>
      </c>
      <c r="CK12" s="98" t="s">
        <v>4</v>
      </c>
      <c r="CL12" s="99">
        <v>-2.6</v>
      </c>
      <c r="CN12" s="98" t="s">
        <v>4</v>
      </c>
      <c r="CO12" s="99">
        <v>-2.6</v>
      </c>
      <c r="CQ12" s="98" t="s">
        <v>4</v>
      </c>
      <c r="CR12" s="99">
        <v>-2.6</v>
      </c>
      <c r="CT12" s="98" t="s">
        <v>4</v>
      </c>
      <c r="CU12" s="99">
        <v>-2.6</v>
      </c>
      <c r="CW12" s="98" t="s">
        <v>4</v>
      </c>
      <c r="CX12" s="99">
        <v>-2.6</v>
      </c>
      <c r="CZ12" s="98" t="s">
        <v>4</v>
      </c>
      <c r="DA12" s="99">
        <v>-2.6</v>
      </c>
      <c r="DC12" s="98" t="s">
        <v>4</v>
      </c>
      <c r="DD12" s="99">
        <v>-2.6</v>
      </c>
      <c r="DF12" s="98" t="s">
        <v>4</v>
      </c>
      <c r="DG12" s="99">
        <v>-2.6</v>
      </c>
      <c r="DI12" s="132" t="s">
        <v>146</v>
      </c>
      <c r="DJ12" s="133">
        <v>29.32</v>
      </c>
      <c r="DL12" s="54">
        <f t="shared" si="4"/>
        <v>5</v>
      </c>
      <c r="DM12" s="86" t="s">
        <v>214</v>
      </c>
      <c r="DN12" s="91" t="e">
        <f>#REF!</f>
        <v>#REF!</v>
      </c>
      <c r="DO12" s="91" t="e">
        <f>#REF!</f>
        <v>#REF!</v>
      </c>
      <c r="DP12" s="91">
        <f>AG52</f>
        <v>0</v>
      </c>
      <c r="DQ12" s="91">
        <v>0</v>
      </c>
      <c r="DR12" s="91">
        <f>AG41</f>
        <v>67.48</v>
      </c>
      <c r="DS12" s="91" t="e">
        <f t="shared" si="0"/>
        <v>#REF!</v>
      </c>
      <c r="DT12" s="19" t="e">
        <f>AG73</f>
        <v>#REF!</v>
      </c>
      <c r="DU12" s="97" t="s">
        <v>258</v>
      </c>
      <c r="DV12" s="97" t="s">
        <v>258</v>
      </c>
      <c r="DW12" s="21">
        <f>AG40</f>
        <v>75.64</v>
      </c>
      <c r="DX12" s="93" t="e">
        <f>DT12+DW12</f>
        <v>#REF!</v>
      </c>
      <c r="DY12" s="94">
        <f>AG27</f>
        <v>1467.2899999999995</v>
      </c>
      <c r="DZ12" s="93" t="e">
        <f t="shared" si="2"/>
        <v>#REF!</v>
      </c>
      <c r="EA12" s="93" t="e">
        <f t="shared" si="3"/>
        <v>#REF!</v>
      </c>
      <c r="EB12" s="93"/>
      <c r="EC12" s="86"/>
      <c r="EE12" s="54">
        <f t="shared" si="5"/>
        <v>5</v>
      </c>
      <c r="EF12" s="54" t="s">
        <v>214</v>
      </c>
      <c r="EG12" s="94">
        <f>DY12</f>
        <v>1467.2899999999995</v>
      </c>
      <c r="EH12" s="199" t="s">
        <v>447</v>
      </c>
      <c r="EI12" s="40">
        <f>1555.61-70.09</f>
        <v>1485.52</v>
      </c>
    </row>
    <row r="13" spans="1:148" ht="24.95" hidden="1" customHeight="1" x14ac:dyDescent="0.25">
      <c r="A13" s="31"/>
      <c r="B13" s="27" t="s">
        <v>4</v>
      </c>
      <c r="C13" s="2">
        <v>-21.67</v>
      </c>
      <c r="D13" s="31"/>
      <c r="E13" s="27" t="s">
        <v>4</v>
      </c>
      <c r="F13" s="2">
        <v>-22.95</v>
      </c>
      <c r="G13" s="31"/>
      <c r="H13" s="1" t="s">
        <v>18</v>
      </c>
      <c r="I13" s="2">
        <v>104.01</v>
      </c>
      <c r="K13" s="50" t="s">
        <v>48</v>
      </c>
      <c r="L13" s="162" t="s">
        <v>20</v>
      </c>
      <c r="M13" s="163">
        <v>80.760000000000005</v>
      </c>
      <c r="N13" s="179">
        <f>(P9+P11+P13+P14)-28.12</f>
        <v>1620.76</v>
      </c>
      <c r="O13" s="48" t="s">
        <v>157</v>
      </c>
      <c r="P13" s="49">
        <v>16.329999999999998</v>
      </c>
      <c r="R13" s="48" t="s">
        <v>157</v>
      </c>
      <c r="S13" s="49">
        <v>15.92</v>
      </c>
      <c r="T13" s="55"/>
      <c r="U13" s="55"/>
      <c r="V13" s="55"/>
      <c r="X13" s="36" t="s">
        <v>12</v>
      </c>
      <c r="Y13" s="195">
        <f>Y14+Y15</f>
        <v>147265.66</v>
      </c>
      <c r="Z13" s="59">
        <f>C9+C10+C11+F9+F10+F11+I9+I10+I11+M9+M10+M11+M12+P9+P10+P11+P12+P13+P14+S9+S10+S11+S12+S13+S14+S15</f>
        <v>2997.03</v>
      </c>
      <c r="AC13" s="3" t="s">
        <v>5</v>
      </c>
      <c r="AD13" s="4">
        <v>14.78</v>
      </c>
      <c r="AF13" s="3" t="s">
        <v>146</v>
      </c>
      <c r="AG13" s="4">
        <v>47.51</v>
      </c>
      <c r="AI13" s="98" t="s">
        <v>146</v>
      </c>
      <c r="AJ13" s="99">
        <v>48.16</v>
      </c>
      <c r="AL13" s="98" t="s">
        <v>146</v>
      </c>
      <c r="AM13" s="99">
        <v>48.16</v>
      </c>
      <c r="AO13" s="98" t="s">
        <v>146</v>
      </c>
      <c r="AP13" s="99">
        <v>48.16</v>
      </c>
      <c r="AR13" s="98" t="s">
        <v>146</v>
      </c>
      <c r="AS13" s="99">
        <v>48.16</v>
      </c>
      <c r="AU13" s="98" t="s">
        <v>146</v>
      </c>
      <c r="AV13" s="99">
        <v>48.16</v>
      </c>
      <c r="AX13" s="98" t="s">
        <v>146</v>
      </c>
      <c r="AY13" s="99">
        <v>48.16</v>
      </c>
      <c r="BA13" s="98" t="s">
        <v>146</v>
      </c>
      <c r="BB13" s="99">
        <v>48.16</v>
      </c>
      <c r="BD13" s="98" t="s">
        <v>146</v>
      </c>
      <c r="BE13" s="99">
        <v>48.16</v>
      </c>
      <c r="BG13" s="98" t="s">
        <v>146</v>
      </c>
      <c r="BH13" s="99">
        <v>48.16</v>
      </c>
      <c r="BJ13" s="98" t="s">
        <v>146</v>
      </c>
      <c r="BK13" s="99">
        <v>48.16</v>
      </c>
      <c r="BM13" s="98" t="s">
        <v>146</v>
      </c>
      <c r="BN13" s="99">
        <v>48.16</v>
      </c>
      <c r="BP13" s="98" t="s">
        <v>146</v>
      </c>
      <c r="BQ13" s="99">
        <v>48.16</v>
      </c>
      <c r="BS13" s="98" t="s">
        <v>146</v>
      </c>
      <c r="BT13" s="99">
        <v>48.16</v>
      </c>
      <c r="BV13" s="98" t="s">
        <v>146</v>
      </c>
      <c r="BW13" s="99">
        <v>48.16</v>
      </c>
      <c r="BY13" s="98" t="s">
        <v>146</v>
      </c>
      <c r="BZ13" s="99">
        <v>48.16</v>
      </c>
      <c r="CB13" s="98" t="s">
        <v>146</v>
      </c>
      <c r="CC13" s="99">
        <v>48.16</v>
      </c>
      <c r="CE13" s="98" t="s">
        <v>146</v>
      </c>
      <c r="CF13" s="99">
        <v>48.16</v>
      </c>
      <c r="CH13" s="98" t="s">
        <v>146</v>
      </c>
      <c r="CI13" s="99">
        <v>48.16</v>
      </c>
      <c r="CK13" s="98" t="s">
        <v>146</v>
      </c>
      <c r="CL13" s="99">
        <v>48.16</v>
      </c>
      <c r="CN13" s="98" t="s">
        <v>146</v>
      </c>
      <c r="CO13" s="99">
        <v>48.16</v>
      </c>
      <c r="CQ13" s="98" t="s">
        <v>146</v>
      </c>
      <c r="CR13" s="99">
        <v>48.16</v>
      </c>
      <c r="CT13" s="98" t="s">
        <v>146</v>
      </c>
      <c r="CU13" s="99">
        <v>48.16</v>
      </c>
      <c r="CW13" s="98" t="s">
        <v>146</v>
      </c>
      <c r="CX13" s="99">
        <v>48.16</v>
      </c>
      <c r="CZ13" s="98" t="s">
        <v>146</v>
      </c>
      <c r="DA13" s="99">
        <v>48.16</v>
      </c>
      <c r="DC13" s="98" t="s">
        <v>146</v>
      </c>
      <c r="DD13" s="99">
        <v>48.16</v>
      </c>
      <c r="DF13" s="98" t="s">
        <v>146</v>
      </c>
      <c r="DG13" s="99">
        <v>54.73</v>
      </c>
      <c r="DI13" s="132" t="s">
        <v>26</v>
      </c>
      <c r="DJ13" s="133">
        <v>48.19</v>
      </c>
      <c r="DL13" s="54">
        <f t="shared" si="4"/>
        <v>6</v>
      </c>
      <c r="DM13" s="86" t="s">
        <v>215</v>
      </c>
      <c r="DN13" s="91">
        <f>AJ72</f>
        <v>0</v>
      </c>
      <c r="DO13" s="91" t="e">
        <f>#REF!</f>
        <v>#REF!</v>
      </c>
      <c r="DP13" s="91">
        <f>AJ52</f>
        <v>18.38</v>
      </c>
      <c r="DQ13" s="91">
        <v>0</v>
      </c>
      <c r="DR13" s="91">
        <f>AJ41</f>
        <v>134.96</v>
      </c>
      <c r="DS13" s="91" t="e">
        <f t="shared" si="0"/>
        <v>#REF!</v>
      </c>
      <c r="DT13" s="19" t="e">
        <f>AJ71</f>
        <v>#REF!</v>
      </c>
      <c r="DU13" s="20">
        <f>AJ61</f>
        <v>243.52</v>
      </c>
      <c r="DV13" s="92">
        <f>AJ51</f>
        <v>24.240000000000002</v>
      </c>
      <c r="DW13" s="21">
        <f>AJ40</f>
        <v>151.28</v>
      </c>
      <c r="DX13" s="93" t="e">
        <f t="shared" si="1"/>
        <v>#REF!</v>
      </c>
      <c r="DY13" s="94">
        <f>AJ27</f>
        <v>659.61</v>
      </c>
      <c r="DZ13" s="93" t="e">
        <f t="shared" si="2"/>
        <v>#REF!</v>
      </c>
      <c r="EA13" s="93" t="e">
        <f t="shared" si="3"/>
        <v>#REF!</v>
      </c>
      <c r="EB13" s="93"/>
      <c r="EC13" s="86"/>
      <c r="EE13" s="54">
        <f t="shared" si="5"/>
        <v>6</v>
      </c>
      <c r="EF13" s="54" t="s">
        <v>215</v>
      </c>
      <c r="EG13" s="94">
        <f t="shared" ref="EG13:EG39" si="6">DY13</f>
        <v>659.61</v>
      </c>
      <c r="EI13" s="96">
        <v>715.1</v>
      </c>
      <c r="EJ13" s="96"/>
      <c r="EK13" s="96"/>
      <c r="EL13" s="41"/>
      <c r="EM13" s="41"/>
      <c r="EN13" s="41"/>
      <c r="EO13" s="96"/>
      <c r="EP13" s="96"/>
    </row>
    <row r="14" spans="1:148" ht="30.6" hidden="1" customHeight="1" x14ac:dyDescent="0.4">
      <c r="B14" s="1" t="s">
        <v>6</v>
      </c>
      <c r="C14" s="23">
        <v>49.13</v>
      </c>
      <c r="D14" s="140" t="s">
        <v>165</v>
      </c>
      <c r="E14" s="11" t="s">
        <v>16</v>
      </c>
      <c r="F14" s="141">
        <v>247.2</v>
      </c>
      <c r="G14" s="136" t="s">
        <v>50</v>
      </c>
      <c r="H14" s="1" t="s">
        <v>4</v>
      </c>
      <c r="I14" s="2">
        <v>-24.23</v>
      </c>
      <c r="K14" s="50"/>
      <c r="L14" s="162" t="s">
        <v>4</v>
      </c>
      <c r="M14" s="163">
        <v>-5.61</v>
      </c>
      <c r="O14" s="48" t="s">
        <v>3</v>
      </c>
      <c r="P14" s="49">
        <f>42.82-0.98</f>
        <v>41.84</v>
      </c>
      <c r="R14" s="48" t="s">
        <v>3</v>
      </c>
      <c r="S14" s="60">
        <v>43.3</v>
      </c>
      <c r="T14" s="79"/>
      <c r="U14" s="79"/>
      <c r="V14" s="79"/>
      <c r="X14" s="35" t="s">
        <v>151</v>
      </c>
      <c r="Y14" s="161">
        <v>91056.69</v>
      </c>
      <c r="Z14" s="57">
        <f>(Y14*$Z$13)/$Y$13</f>
        <v>1853.1111165406792</v>
      </c>
      <c r="AC14" s="3" t="s">
        <v>130</v>
      </c>
      <c r="AD14" s="4">
        <v>54.88</v>
      </c>
      <c r="AF14" s="3"/>
      <c r="AG14" s="4"/>
      <c r="AI14" s="98"/>
      <c r="AJ14" s="99"/>
      <c r="AL14" s="98"/>
      <c r="AM14" s="99"/>
      <c r="AO14" s="98"/>
      <c r="AP14" s="99"/>
      <c r="AR14" s="98"/>
      <c r="AS14" s="99"/>
      <c r="AU14" s="98"/>
      <c r="AV14" s="99"/>
      <c r="AX14" s="98"/>
      <c r="AY14" s="99"/>
      <c r="BA14" s="98"/>
      <c r="BB14" s="99"/>
      <c r="BD14" s="98"/>
      <c r="BE14" s="99"/>
      <c r="BG14" s="98"/>
      <c r="BH14" s="99"/>
      <c r="BJ14" s="98"/>
      <c r="BK14" s="99"/>
      <c r="BM14" s="98"/>
      <c r="BN14" s="99"/>
      <c r="BP14" s="98"/>
      <c r="BQ14" s="99"/>
      <c r="BS14" s="98"/>
      <c r="BT14" s="99"/>
      <c r="BV14" s="98"/>
      <c r="BW14" s="99"/>
      <c r="BY14" s="98"/>
      <c r="BZ14" s="99"/>
      <c r="CB14" s="98"/>
      <c r="CC14" s="99"/>
      <c r="CE14" s="98"/>
      <c r="CF14" s="99"/>
      <c r="CH14" s="98"/>
      <c r="CI14" s="99"/>
      <c r="CK14" s="98"/>
      <c r="CL14" s="99"/>
      <c r="CN14" s="98"/>
      <c r="CO14" s="99"/>
      <c r="CQ14" s="98"/>
      <c r="CR14" s="99"/>
      <c r="CT14" s="98"/>
      <c r="CU14" s="99"/>
      <c r="CW14" s="98"/>
      <c r="CX14" s="99"/>
      <c r="CZ14" s="98"/>
      <c r="DA14" s="99"/>
      <c r="DC14" s="98"/>
      <c r="DD14" s="99"/>
      <c r="DF14" s="98" t="s">
        <v>4</v>
      </c>
      <c r="DG14" s="99">
        <v>-1.26</v>
      </c>
      <c r="DI14" s="132" t="s">
        <v>4</v>
      </c>
      <c r="DJ14" s="133">
        <v>-3.27</v>
      </c>
      <c r="DL14" s="54">
        <f t="shared" si="4"/>
        <v>7</v>
      </c>
      <c r="DM14" s="86" t="s">
        <v>216</v>
      </c>
      <c r="DN14" s="91">
        <f>AM96</f>
        <v>0</v>
      </c>
      <c r="DO14" s="91" t="e">
        <f>#REF!</f>
        <v>#REF!</v>
      </c>
      <c r="DP14" s="91">
        <f>AM52</f>
        <v>18.38</v>
      </c>
      <c r="DQ14" s="91">
        <v>0</v>
      </c>
      <c r="DR14" s="91">
        <f>AM41</f>
        <v>134.96</v>
      </c>
      <c r="DS14" s="91" t="e">
        <f t="shared" si="0"/>
        <v>#REF!</v>
      </c>
      <c r="DT14" s="19" t="e">
        <f>AM71</f>
        <v>#REF!</v>
      </c>
      <c r="DU14" s="20">
        <f>AM61</f>
        <v>243.52</v>
      </c>
      <c r="DV14" s="92">
        <f>AM51</f>
        <v>24.240000000000002</v>
      </c>
      <c r="DW14" s="21">
        <f>AM40</f>
        <v>151.28</v>
      </c>
      <c r="DX14" s="93" t="e">
        <f t="shared" si="1"/>
        <v>#REF!</v>
      </c>
      <c r="DY14" s="94">
        <f>AM27</f>
        <v>633.3599999999999</v>
      </c>
      <c r="DZ14" s="93" t="e">
        <f t="shared" si="2"/>
        <v>#REF!</v>
      </c>
      <c r="EA14" s="93" t="e">
        <f t="shared" si="3"/>
        <v>#REF!</v>
      </c>
      <c r="EB14" s="93"/>
      <c r="EC14" s="86"/>
      <c r="EE14" s="54">
        <f t="shared" si="5"/>
        <v>7</v>
      </c>
      <c r="EF14" s="54" t="s">
        <v>216</v>
      </c>
      <c r="EG14" s="94">
        <f t="shared" si="6"/>
        <v>633.3599999999999</v>
      </c>
    </row>
    <row r="15" spans="1:148" ht="24.95" hidden="1" customHeight="1" x14ac:dyDescent="0.4">
      <c r="B15" s="1" t="s">
        <v>4</v>
      </c>
      <c r="C15" s="23">
        <v>-4.1900000000000004</v>
      </c>
      <c r="D15" s="136" t="s">
        <v>50</v>
      </c>
      <c r="E15" s="1" t="s">
        <v>6</v>
      </c>
      <c r="F15" s="23">
        <v>49.13</v>
      </c>
      <c r="G15" s="101"/>
      <c r="H15" s="1" t="s">
        <v>6</v>
      </c>
      <c r="I15" s="23">
        <v>49.13</v>
      </c>
      <c r="K15" s="196" t="s">
        <v>326</v>
      </c>
      <c r="L15" s="29" t="s">
        <v>166</v>
      </c>
      <c r="M15" s="30">
        <v>683.41</v>
      </c>
      <c r="N15" s="47"/>
      <c r="O15" s="9" t="s">
        <v>54</v>
      </c>
      <c r="P15" s="10">
        <v>334.11</v>
      </c>
      <c r="R15" s="48" t="s">
        <v>4</v>
      </c>
      <c r="S15" s="49">
        <v>-0.98</v>
      </c>
      <c r="T15" s="55"/>
      <c r="U15" s="55"/>
      <c r="V15" s="55"/>
      <c r="X15" s="35" t="s">
        <v>152</v>
      </c>
      <c r="Y15" s="161">
        <v>56208.97</v>
      </c>
      <c r="Z15" s="57">
        <f>(Y15*$Z$13)/$Y$13</f>
        <v>1143.918883459321</v>
      </c>
      <c r="AC15" s="3" t="s">
        <v>4</v>
      </c>
      <c r="AD15" s="104">
        <v>-2.6</v>
      </c>
      <c r="AF15" s="3" t="s">
        <v>26</v>
      </c>
      <c r="AG15" s="4">
        <v>45.03</v>
      </c>
      <c r="AI15" s="98" t="s">
        <v>26</v>
      </c>
      <c r="AJ15" s="99">
        <v>44.67</v>
      </c>
      <c r="AL15" s="98" t="s">
        <v>26</v>
      </c>
      <c r="AM15" s="99">
        <v>44.67</v>
      </c>
      <c r="AO15" s="98" t="s">
        <v>26</v>
      </c>
      <c r="AP15" s="99">
        <v>44.67</v>
      </c>
      <c r="AR15" s="98" t="s">
        <v>26</v>
      </c>
      <c r="AS15" s="99">
        <v>44.67</v>
      </c>
      <c r="AU15" s="98" t="s">
        <v>26</v>
      </c>
      <c r="AV15" s="99">
        <v>44.67</v>
      </c>
      <c r="AX15" s="98" t="s">
        <v>26</v>
      </c>
      <c r="AY15" s="99">
        <v>44.67</v>
      </c>
      <c r="BA15" s="98" t="s">
        <v>26</v>
      </c>
      <c r="BB15" s="99">
        <v>44.67</v>
      </c>
      <c r="BD15" s="98" t="s">
        <v>26</v>
      </c>
      <c r="BE15" s="99">
        <v>44.67</v>
      </c>
      <c r="BG15" s="98" t="s">
        <v>26</v>
      </c>
      <c r="BH15" s="99">
        <v>44.67</v>
      </c>
      <c r="BJ15" s="98" t="s">
        <v>26</v>
      </c>
      <c r="BK15" s="99">
        <v>44.67</v>
      </c>
      <c r="BM15" s="98" t="s">
        <v>26</v>
      </c>
      <c r="BN15" s="99">
        <v>44.67</v>
      </c>
      <c r="BP15" s="98" t="s">
        <v>26</v>
      </c>
      <c r="BQ15" s="99">
        <v>44.67</v>
      </c>
      <c r="BS15" s="98" t="s">
        <v>26</v>
      </c>
      <c r="BT15" s="99">
        <v>44.67</v>
      </c>
      <c r="BV15" s="98" t="s">
        <v>26</v>
      </c>
      <c r="BW15" s="99">
        <v>44.67</v>
      </c>
      <c r="BY15" s="98" t="s">
        <v>26</v>
      </c>
      <c r="BZ15" s="99">
        <v>44.67</v>
      </c>
      <c r="CB15" s="98" t="s">
        <v>26</v>
      </c>
      <c r="CC15" s="99">
        <v>44.67</v>
      </c>
      <c r="CE15" s="98" t="s">
        <v>26</v>
      </c>
      <c r="CF15" s="99">
        <v>44.67</v>
      </c>
      <c r="CH15" s="98" t="s">
        <v>26</v>
      </c>
      <c r="CI15" s="99">
        <v>44.67</v>
      </c>
      <c r="CK15" s="98" t="s">
        <v>26</v>
      </c>
      <c r="CL15" s="99">
        <v>44.67</v>
      </c>
      <c r="CN15" s="98" t="s">
        <v>26</v>
      </c>
      <c r="CO15" s="99">
        <v>44.67</v>
      </c>
      <c r="CQ15" s="98" t="s">
        <v>26</v>
      </c>
      <c r="CR15" s="99">
        <v>44.67</v>
      </c>
      <c r="CT15" s="98" t="s">
        <v>26</v>
      </c>
      <c r="CU15" s="99">
        <v>44.67</v>
      </c>
      <c r="CW15" s="98" t="s">
        <v>26</v>
      </c>
      <c r="CX15" s="99">
        <v>44.67</v>
      </c>
      <c r="CZ15" s="98" t="s">
        <v>26</v>
      </c>
      <c r="DA15" s="99">
        <v>44.67</v>
      </c>
      <c r="DC15" s="98" t="s">
        <v>26</v>
      </c>
      <c r="DD15" s="99">
        <v>44.67</v>
      </c>
      <c r="DF15" s="98" t="s">
        <v>26</v>
      </c>
      <c r="DG15" s="105">
        <v>46.2</v>
      </c>
      <c r="DI15" s="132" t="s">
        <v>11</v>
      </c>
      <c r="DJ15" s="133">
        <v>56.41</v>
      </c>
      <c r="DL15" s="54">
        <f t="shared" si="4"/>
        <v>8</v>
      </c>
      <c r="DM15" s="86" t="s">
        <v>217</v>
      </c>
      <c r="DN15" s="91">
        <f>AP72</f>
        <v>2294.83</v>
      </c>
      <c r="DO15" s="91" t="e">
        <f>#REF!</f>
        <v>#REF!</v>
      </c>
      <c r="DP15" s="91">
        <f>AP52</f>
        <v>18.38</v>
      </c>
      <c r="DQ15" s="91">
        <v>0</v>
      </c>
      <c r="DR15" s="91">
        <f>AP41</f>
        <v>134.96</v>
      </c>
      <c r="DS15" s="91" t="e">
        <f t="shared" si="0"/>
        <v>#REF!</v>
      </c>
      <c r="DT15" s="19" t="e">
        <f>AP71</f>
        <v>#REF!</v>
      </c>
      <c r="DU15" s="20">
        <f>AP61</f>
        <v>243.52</v>
      </c>
      <c r="DV15" s="92">
        <f>AP51</f>
        <v>24.240000000000002</v>
      </c>
      <c r="DW15" s="21">
        <f>AP40</f>
        <v>151.28</v>
      </c>
      <c r="DX15" s="93" t="e">
        <f t="shared" si="1"/>
        <v>#REF!</v>
      </c>
      <c r="DY15" s="94">
        <f>AP27</f>
        <v>750.24</v>
      </c>
      <c r="DZ15" s="93" t="e">
        <f t="shared" si="2"/>
        <v>#REF!</v>
      </c>
      <c r="EA15" s="93" t="e">
        <f t="shared" si="3"/>
        <v>#REF!</v>
      </c>
      <c r="EB15" s="93"/>
      <c r="EC15" s="86"/>
      <c r="EE15" s="54">
        <f t="shared" si="5"/>
        <v>8</v>
      </c>
      <c r="EF15" s="54" t="s">
        <v>217</v>
      </c>
      <c r="EG15" s="94">
        <f t="shared" si="6"/>
        <v>750.24</v>
      </c>
    </row>
    <row r="16" spans="1:148" ht="45" hidden="1" customHeight="1" x14ac:dyDescent="0.25">
      <c r="B16" s="1" t="s">
        <v>63</v>
      </c>
      <c r="C16" s="23">
        <v>53.84</v>
      </c>
      <c r="D16" s="47"/>
      <c r="E16" s="1" t="s">
        <v>4</v>
      </c>
      <c r="F16" s="23">
        <v>-5.18</v>
      </c>
      <c r="G16" s="101"/>
      <c r="H16" s="1" t="s">
        <v>4</v>
      </c>
      <c r="I16" s="23">
        <v>-5.18</v>
      </c>
      <c r="K16" s="50"/>
      <c r="L16" s="29" t="s">
        <v>4</v>
      </c>
      <c r="M16" s="30">
        <v>-66.849999999999994</v>
      </c>
      <c r="N16" s="47"/>
      <c r="O16" s="9" t="s">
        <v>4</v>
      </c>
      <c r="P16" s="10">
        <v>-22.49</v>
      </c>
      <c r="R16" s="48"/>
      <c r="S16" s="49"/>
      <c r="T16" s="55"/>
      <c r="U16" s="55"/>
      <c r="V16" s="55"/>
      <c r="Y16" s="55"/>
      <c r="Z16" s="40"/>
      <c r="AC16" s="3" t="s">
        <v>146</v>
      </c>
      <c r="AD16" s="4">
        <v>48.81</v>
      </c>
      <c r="AF16" s="3" t="s">
        <v>4</v>
      </c>
      <c r="AG16" s="4">
        <v>-4.99</v>
      </c>
      <c r="AI16" s="98" t="s">
        <v>4</v>
      </c>
      <c r="AJ16" s="99">
        <v>-4.99</v>
      </c>
      <c r="AL16" s="98" t="s">
        <v>4</v>
      </c>
      <c r="AM16" s="99">
        <v>-4.99</v>
      </c>
      <c r="AO16" s="98" t="s">
        <v>4</v>
      </c>
      <c r="AP16" s="99">
        <v>-4.99</v>
      </c>
      <c r="AR16" s="98" t="s">
        <v>4</v>
      </c>
      <c r="AS16" s="99">
        <v>-4.99</v>
      </c>
      <c r="AU16" s="98" t="s">
        <v>4</v>
      </c>
      <c r="AV16" s="99">
        <v>-4.99</v>
      </c>
      <c r="AX16" s="98" t="s">
        <v>4</v>
      </c>
      <c r="AY16" s="99">
        <v>-4.99</v>
      </c>
      <c r="BA16" s="98" t="s">
        <v>4</v>
      </c>
      <c r="BB16" s="99">
        <v>-4.99</v>
      </c>
      <c r="BD16" s="98" t="s">
        <v>4</v>
      </c>
      <c r="BE16" s="99">
        <v>-4.99</v>
      </c>
      <c r="BG16" s="98" t="s">
        <v>4</v>
      </c>
      <c r="BH16" s="99">
        <v>-4.99</v>
      </c>
      <c r="BJ16" s="98" t="s">
        <v>4</v>
      </c>
      <c r="BK16" s="99">
        <v>-4.99</v>
      </c>
      <c r="BM16" s="98" t="s">
        <v>4</v>
      </c>
      <c r="BN16" s="99">
        <v>-4.99</v>
      </c>
      <c r="BP16" s="98" t="s">
        <v>4</v>
      </c>
      <c r="BQ16" s="99">
        <v>-4.99</v>
      </c>
      <c r="BS16" s="98" t="s">
        <v>4</v>
      </c>
      <c r="BT16" s="99">
        <v>-4.99</v>
      </c>
      <c r="BV16" s="98" t="s">
        <v>4</v>
      </c>
      <c r="BW16" s="99">
        <v>-4.99</v>
      </c>
      <c r="BY16" s="98" t="s">
        <v>4</v>
      </c>
      <c r="BZ16" s="99">
        <v>-4.99</v>
      </c>
      <c r="CB16" s="98" t="s">
        <v>4</v>
      </c>
      <c r="CC16" s="99">
        <v>-4.99</v>
      </c>
      <c r="CE16" s="98" t="s">
        <v>4</v>
      </c>
      <c r="CF16" s="99">
        <v>-4.99</v>
      </c>
      <c r="CH16" s="98" t="s">
        <v>4</v>
      </c>
      <c r="CI16" s="99">
        <v>-4.99</v>
      </c>
      <c r="CK16" s="98" t="s">
        <v>4</v>
      </c>
      <c r="CL16" s="99">
        <v>-4.99</v>
      </c>
      <c r="CN16" s="98" t="s">
        <v>4</v>
      </c>
      <c r="CO16" s="99">
        <v>-4.99</v>
      </c>
      <c r="CQ16" s="98" t="s">
        <v>4</v>
      </c>
      <c r="CR16" s="99">
        <v>-4.99</v>
      </c>
      <c r="CT16" s="98" t="s">
        <v>4</v>
      </c>
      <c r="CU16" s="99">
        <v>-4.99</v>
      </c>
      <c r="CW16" s="98" t="s">
        <v>4</v>
      </c>
      <c r="CX16" s="99">
        <v>-4.99</v>
      </c>
      <c r="CZ16" s="98" t="s">
        <v>4</v>
      </c>
      <c r="DA16" s="99">
        <v>-4.99</v>
      </c>
      <c r="DC16" s="98" t="s">
        <v>4</v>
      </c>
      <c r="DD16" s="99">
        <v>-4.99</v>
      </c>
      <c r="DF16" s="98" t="s">
        <v>4</v>
      </c>
      <c r="DG16" s="99">
        <v>-4.9800000000000004</v>
      </c>
      <c r="DI16" s="132" t="s">
        <v>4</v>
      </c>
      <c r="DJ16" s="134">
        <v>-3.2</v>
      </c>
      <c r="DL16" s="54">
        <f t="shared" si="4"/>
        <v>9</v>
      </c>
      <c r="DM16" s="86" t="s">
        <v>218</v>
      </c>
      <c r="DN16" s="91">
        <f>AS72</f>
        <v>2417.38</v>
      </c>
      <c r="DO16" s="91" t="e">
        <f>#REF!</f>
        <v>#REF!</v>
      </c>
      <c r="DP16" s="91">
        <f>AS52</f>
        <v>18.38</v>
      </c>
      <c r="DQ16" s="91">
        <v>0</v>
      </c>
      <c r="DR16" s="91">
        <f>AS41</f>
        <v>134.96</v>
      </c>
      <c r="DS16" s="91" t="e">
        <f t="shared" si="0"/>
        <v>#REF!</v>
      </c>
      <c r="DT16" s="19" t="e">
        <f>AS71</f>
        <v>#REF!</v>
      </c>
      <c r="DU16" s="20">
        <f>AS61</f>
        <v>243.52</v>
      </c>
      <c r="DV16" s="92">
        <f>AS51</f>
        <v>24.240000000000002</v>
      </c>
      <c r="DW16" s="21">
        <f>AS40</f>
        <v>151.28</v>
      </c>
      <c r="DX16" s="93" t="e">
        <f t="shared" si="1"/>
        <v>#REF!</v>
      </c>
      <c r="DY16" s="94">
        <f>AS27</f>
        <v>900.94999999999993</v>
      </c>
      <c r="DZ16" s="93" t="e">
        <f t="shared" si="2"/>
        <v>#REF!</v>
      </c>
      <c r="EA16" s="93" t="e">
        <f t="shared" si="3"/>
        <v>#REF!</v>
      </c>
      <c r="EB16" s="93"/>
      <c r="EC16" s="90" t="s">
        <v>238</v>
      </c>
      <c r="EE16" s="54">
        <f t="shared" si="5"/>
        <v>9</v>
      </c>
      <c r="EF16" s="54" t="s">
        <v>218</v>
      </c>
      <c r="EG16" s="94">
        <f t="shared" si="6"/>
        <v>900.94999999999993</v>
      </c>
    </row>
    <row r="17" spans="1:147" ht="24.95" hidden="1" customHeight="1" x14ac:dyDescent="0.25">
      <c r="B17" s="1" t="s">
        <v>4</v>
      </c>
      <c r="C17" s="23">
        <v>-7.6</v>
      </c>
      <c r="D17" s="47"/>
      <c r="E17" s="1" t="s">
        <v>63</v>
      </c>
      <c r="F17" s="23">
        <v>53.84</v>
      </c>
      <c r="G17" s="101"/>
      <c r="H17" s="1" t="s">
        <v>63</v>
      </c>
      <c r="I17" s="23">
        <v>73.73</v>
      </c>
      <c r="L17" s="29" t="s">
        <v>21</v>
      </c>
      <c r="M17" s="30">
        <v>64.739999999999995</v>
      </c>
      <c r="N17" s="47"/>
      <c r="O17" s="9" t="s">
        <v>25</v>
      </c>
      <c r="P17" s="10">
        <v>16.2</v>
      </c>
      <c r="R17" s="48"/>
      <c r="S17" s="49"/>
      <c r="T17" s="55"/>
      <c r="U17" s="55"/>
      <c r="V17" s="55"/>
      <c r="Y17" s="24"/>
      <c r="Z17" s="40"/>
      <c r="AC17" s="3" t="s">
        <v>4</v>
      </c>
      <c r="AD17" s="4">
        <v>-1.43</v>
      </c>
      <c r="AF17" s="3" t="s">
        <v>64</v>
      </c>
      <c r="AG17" s="4">
        <f>27.57-2.88</f>
        <v>24.69</v>
      </c>
      <c r="AI17" s="98" t="s">
        <v>425</v>
      </c>
      <c r="AJ17" s="99">
        <f>27.26-2.88</f>
        <v>24.380000000000003</v>
      </c>
      <c r="AL17" s="98" t="s">
        <v>64</v>
      </c>
      <c r="AM17" s="99">
        <f>27.26-2.88</f>
        <v>24.380000000000003</v>
      </c>
      <c r="AO17" s="98" t="s">
        <v>64</v>
      </c>
      <c r="AP17" s="99">
        <f>27.26-2.88</f>
        <v>24.380000000000003</v>
      </c>
      <c r="AR17" s="98" t="s">
        <v>64</v>
      </c>
      <c r="AS17" s="99">
        <f>27.26-2.88</f>
        <v>24.380000000000003</v>
      </c>
      <c r="AU17" s="98" t="s">
        <v>64</v>
      </c>
      <c r="AV17" s="99">
        <f>27.26-2.88</f>
        <v>24.380000000000003</v>
      </c>
      <c r="AX17" s="98" t="s">
        <v>64</v>
      </c>
      <c r="AY17" s="99">
        <f>27.26-2.88</f>
        <v>24.380000000000003</v>
      </c>
      <c r="BA17" s="98" t="s">
        <v>64</v>
      </c>
      <c r="BB17" s="99">
        <f>27.26-2.88</f>
        <v>24.380000000000003</v>
      </c>
      <c r="BD17" s="98" t="s">
        <v>64</v>
      </c>
      <c r="BE17" s="99">
        <f>27.26-2.88</f>
        <v>24.380000000000003</v>
      </c>
      <c r="BG17" s="98" t="s">
        <v>64</v>
      </c>
      <c r="BH17" s="99">
        <f>27.26-2.88</f>
        <v>24.380000000000003</v>
      </c>
      <c r="BJ17" s="98" t="s">
        <v>64</v>
      </c>
      <c r="BK17" s="99">
        <f>27.26-2.88</f>
        <v>24.380000000000003</v>
      </c>
      <c r="BM17" s="98" t="s">
        <v>64</v>
      </c>
      <c r="BN17" s="99">
        <f>27.26-2.88</f>
        <v>24.380000000000003</v>
      </c>
      <c r="BP17" s="98" t="s">
        <v>64</v>
      </c>
      <c r="BQ17" s="99">
        <f>27.26-2.88</f>
        <v>24.380000000000003</v>
      </c>
      <c r="BS17" s="98" t="s">
        <v>64</v>
      </c>
      <c r="BT17" s="99">
        <f>27.26-2.88</f>
        <v>24.380000000000003</v>
      </c>
      <c r="BV17" s="98" t="s">
        <v>64</v>
      </c>
      <c r="BW17" s="99">
        <f>27.26-2.88</f>
        <v>24.380000000000003</v>
      </c>
      <c r="BY17" s="98" t="s">
        <v>64</v>
      </c>
      <c r="BZ17" s="99">
        <f>27.26-2.88</f>
        <v>24.380000000000003</v>
      </c>
      <c r="CB17" s="98" t="s">
        <v>64</v>
      </c>
      <c r="CC17" s="99">
        <f>27.26-2.88</f>
        <v>24.380000000000003</v>
      </c>
      <c r="CE17" s="98" t="s">
        <v>64</v>
      </c>
      <c r="CF17" s="99">
        <f>27.26-2.88</f>
        <v>24.380000000000003</v>
      </c>
      <c r="CH17" s="98" t="s">
        <v>64</v>
      </c>
      <c r="CI17" s="99">
        <f>27.26-2.88</f>
        <v>24.380000000000003</v>
      </c>
      <c r="CK17" s="98" t="s">
        <v>64</v>
      </c>
      <c r="CL17" s="99">
        <f>27.26-2.88</f>
        <v>24.380000000000003</v>
      </c>
      <c r="CN17" s="98" t="s">
        <v>64</v>
      </c>
      <c r="CO17" s="99">
        <f>27.26-2.88</f>
        <v>24.380000000000003</v>
      </c>
      <c r="CQ17" s="98" t="s">
        <v>64</v>
      </c>
      <c r="CR17" s="99">
        <f>27.26-2.88</f>
        <v>24.380000000000003</v>
      </c>
      <c r="CT17" s="98" t="s">
        <v>64</v>
      </c>
      <c r="CU17" s="99">
        <f>27.26-2.88</f>
        <v>24.380000000000003</v>
      </c>
      <c r="CW17" s="98" t="s">
        <v>64</v>
      </c>
      <c r="CX17" s="99">
        <f>27.26-2.88</f>
        <v>24.380000000000003</v>
      </c>
      <c r="CZ17" s="98" t="s">
        <v>64</v>
      </c>
      <c r="DA17" s="99">
        <f>27.26-2.88</f>
        <v>24.380000000000003</v>
      </c>
      <c r="DC17" s="98" t="s">
        <v>64</v>
      </c>
      <c r="DD17" s="99">
        <f>27.26-2.88</f>
        <v>24.380000000000003</v>
      </c>
      <c r="DF17" s="166" t="s">
        <v>427</v>
      </c>
      <c r="DG17" s="168">
        <f>20.71-1.26</f>
        <v>19.45</v>
      </c>
      <c r="DI17" s="132" t="s">
        <v>254</v>
      </c>
      <c r="DJ17" s="133">
        <f>38.75</f>
        <v>38.75</v>
      </c>
      <c r="DL17" s="54">
        <f t="shared" si="4"/>
        <v>10</v>
      </c>
      <c r="DM17" s="86" t="s">
        <v>219</v>
      </c>
      <c r="DN17" s="91">
        <f>AV72</f>
        <v>2294.83</v>
      </c>
      <c r="DO17" s="91" t="e">
        <f>#REF!</f>
        <v>#REF!</v>
      </c>
      <c r="DP17" s="91">
        <f>AV52</f>
        <v>18.38</v>
      </c>
      <c r="DQ17" s="91">
        <v>0</v>
      </c>
      <c r="DR17" s="91">
        <f>AV41</f>
        <v>134.96</v>
      </c>
      <c r="DS17" s="91" t="e">
        <f t="shared" si="0"/>
        <v>#REF!</v>
      </c>
      <c r="DT17" s="19" t="e">
        <f>AV71</f>
        <v>#REF!</v>
      </c>
      <c r="DU17" s="20">
        <f>AV61</f>
        <v>243.52</v>
      </c>
      <c r="DV17" s="92">
        <f>AV51</f>
        <v>24.240000000000002</v>
      </c>
      <c r="DW17" s="21">
        <f>AV40</f>
        <v>151.28</v>
      </c>
      <c r="DX17" s="93" t="e">
        <f t="shared" si="1"/>
        <v>#REF!</v>
      </c>
      <c r="DY17" s="94">
        <f>AV27</f>
        <v>750.24</v>
      </c>
      <c r="DZ17" s="93" t="e">
        <f t="shared" si="2"/>
        <v>#REF!</v>
      </c>
      <c r="EA17" s="93" t="e">
        <f t="shared" si="3"/>
        <v>#REF!</v>
      </c>
      <c r="EB17" s="93"/>
      <c r="EC17" s="86"/>
      <c r="EE17" s="54">
        <f t="shared" si="5"/>
        <v>10</v>
      </c>
      <c r="EF17" s="54" t="s">
        <v>219</v>
      </c>
      <c r="EG17" s="94">
        <f t="shared" si="6"/>
        <v>750.24</v>
      </c>
    </row>
    <row r="18" spans="1:147" ht="24.95" hidden="1" customHeight="1" x14ac:dyDescent="0.25">
      <c r="B18" s="1" t="s">
        <v>25</v>
      </c>
      <c r="C18" s="23">
        <v>19.89</v>
      </c>
      <c r="D18" s="47"/>
      <c r="E18" s="1" t="s">
        <v>4</v>
      </c>
      <c r="F18" s="23">
        <v>-7.6</v>
      </c>
      <c r="G18" s="101"/>
      <c r="H18" s="1" t="s">
        <v>4</v>
      </c>
      <c r="I18" s="23">
        <v>-7.6</v>
      </c>
      <c r="K18" s="34"/>
      <c r="L18" s="29" t="s">
        <v>4</v>
      </c>
      <c r="M18" s="30">
        <v>-4.1100000000000003</v>
      </c>
      <c r="N18" s="95" t="s">
        <v>49</v>
      </c>
      <c r="O18" s="9"/>
      <c r="P18" s="28"/>
      <c r="Q18" s="196" t="s">
        <v>326</v>
      </c>
      <c r="R18" s="159" t="s">
        <v>421</v>
      </c>
      <c r="S18" s="159">
        <f>707.48-68.3</f>
        <v>639.18000000000006</v>
      </c>
      <c r="T18" s="40"/>
      <c r="U18" s="40"/>
      <c r="V18" s="96">
        <f>C9+C10+C11+F9+F10+F11+I9+I10+I11+M9+M10+M11+M12+P9+P10+P11+P12+P13+P14+S9+S10+S11+S12+S13+S14+S15</f>
        <v>2997.03</v>
      </c>
      <c r="Y18" s="24"/>
      <c r="Z18" s="40"/>
      <c r="AC18" s="3" t="s">
        <v>26</v>
      </c>
      <c r="AD18" s="4">
        <v>47.24</v>
      </c>
      <c r="AF18" s="3" t="s">
        <v>149</v>
      </c>
      <c r="AG18" s="4">
        <v>525.46</v>
      </c>
      <c r="AI18" s="98" t="s">
        <v>11</v>
      </c>
      <c r="AJ18" s="99">
        <v>57.95</v>
      </c>
      <c r="AL18" s="98" t="s">
        <v>11</v>
      </c>
      <c r="AM18" s="99">
        <v>56.46</v>
      </c>
      <c r="AO18" s="98" t="s">
        <v>11</v>
      </c>
      <c r="AP18" s="99">
        <v>56.46</v>
      </c>
      <c r="AR18" s="98" t="s">
        <v>11</v>
      </c>
      <c r="AS18" s="99">
        <v>56.46</v>
      </c>
      <c r="AU18" s="98" t="s">
        <v>11</v>
      </c>
      <c r="AV18" s="99">
        <v>56.46</v>
      </c>
      <c r="AX18" s="98" t="s">
        <v>11</v>
      </c>
      <c r="AY18" s="99">
        <v>56.46</v>
      </c>
      <c r="BA18" s="98" t="s">
        <v>11</v>
      </c>
      <c r="BB18" s="99">
        <v>56.46</v>
      </c>
      <c r="BD18" s="98" t="s">
        <v>11</v>
      </c>
      <c r="BE18" s="99">
        <v>56.46</v>
      </c>
      <c r="BG18" s="98" t="s">
        <v>11</v>
      </c>
      <c r="BH18" s="99">
        <v>56.46</v>
      </c>
      <c r="BJ18" s="98" t="s">
        <v>11</v>
      </c>
      <c r="BK18" s="99">
        <v>56.46</v>
      </c>
      <c r="BM18" s="98" t="s">
        <v>11</v>
      </c>
      <c r="BN18" s="99">
        <v>56.46</v>
      </c>
      <c r="BP18" s="98" t="s">
        <v>11</v>
      </c>
      <c r="BQ18" s="99">
        <v>56.46</v>
      </c>
      <c r="BS18" s="98" t="s">
        <v>11</v>
      </c>
      <c r="BT18" s="99">
        <v>56.46</v>
      </c>
      <c r="BV18" s="98" t="s">
        <v>11</v>
      </c>
      <c r="BW18" s="99">
        <v>56.46</v>
      </c>
      <c r="BY18" s="98" t="s">
        <v>11</v>
      </c>
      <c r="BZ18" s="99">
        <v>56.46</v>
      </c>
      <c r="CB18" s="98" t="s">
        <v>11</v>
      </c>
      <c r="CC18" s="99">
        <v>56.46</v>
      </c>
      <c r="CE18" s="98" t="s">
        <v>11</v>
      </c>
      <c r="CF18" s="99">
        <v>56.46</v>
      </c>
      <c r="CH18" s="98" t="s">
        <v>11</v>
      </c>
      <c r="CI18" s="99">
        <v>56.46</v>
      </c>
      <c r="CK18" s="98" t="s">
        <v>11</v>
      </c>
      <c r="CL18" s="99">
        <v>56.46</v>
      </c>
      <c r="CN18" s="98" t="s">
        <v>11</v>
      </c>
      <c r="CO18" s="99">
        <v>56.46</v>
      </c>
      <c r="CQ18" s="98" t="s">
        <v>11</v>
      </c>
      <c r="CR18" s="99">
        <v>56.46</v>
      </c>
      <c r="CT18" s="98" t="s">
        <v>11</v>
      </c>
      <c r="CU18" s="99">
        <v>56.46</v>
      </c>
      <c r="CW18" s="98" t="s">
        <v>11</v>
      </c>
      <c r="CX18" s="99">
        <v>56.46</v>
      </c>
      <c r="CZ18" s="98" t="s">
        <v>11</v>
      </c>
      <c r="DA18" s="99">
        <v>56.46</v>
      </c>
      <c r="DC18" s="98" t="s">
        <v>11</v>
      </c>
      <c r="DD18" s="99">
        <v>56.46</v>
      </c>
      <c r="DF18" s="98" t="s">
        <v>11</v>
      </c>
      <c r="DG18" s="99">
        <v>56.46</v>
      </c>
      <c r="DI18" s="132" t="s">
        <v>250</v>
      </c>
      <c r="DJ18" s="133">
        <v>31.97</v>
      </c>
      <c r="DL18" s="54">
        <f t="shared" si="4"/>
        <v>11</v>
      </c>
      <c r="DM18" s="86" t="s">
        <v>220</v>
      </c>
      <c r="DN18" s="91">
        <f>AY72</f>
        <v>2694.9900000000002</v>
      </c>
      <c r="DO18" s="91" t="e">
        <f>#REF!</f>
        <v>#REF!</v>
      </c>
      <c r="DP18" s="91">
        <f>AY52</f>
        <v>18.38</v>
      </c>
      <c r="DQ18" s="91">
        <v>0</v>
      </c>
      <c r="DR18" s="91">
        <f>AY41</f>
        <v>134.96</v>
      </c>
      <c r="DS18" s="91" t="e">
        <f t="shared" si="0"/>
        <v>#REF!</v>
      </c>
      <c r="DT18" s="19" t="e">
        <f>AY71</f>
        <v>#REF!</v>
      </c>
      <c r="DU18" s="20">
        <f>AY61</f>
        <v>243.52</v>
      </c>
      <c r="DV18" s="92">
        <f>AY51</f>
        <v>24.240000000000002</v>
      </c>
      <c r="DW18" s="21">
        <f>AY40</f>
        <v>151.28</v>
      </c>
      <c r="DX18" s="93" t="e">
        <f t="shared" si="1"/>
        <v>#REF!</v>
      </c>
      <c r="DY18" s="94">
        <f>AY27</f>
        <v>633.3599999999999</v>
      </c>
      <c r="DZ18" s="93" t="e">
        <f t="shared" si="2"/>
        <v>#REF!</v>
      </c>
      <c r="EA18" s="93" t="e">
        <f t="shared" si="3"/>
        <v>#REF!</v>
      </c>
      <c r="EB18" s="93"/>
      <c r="EC18" s="86"/>
      <c r="EE18" s="54">
        <f t="shared" si="5"/>
        <v>11</v>
      </c>
      <c r="EF18" s="54" t="s">
        <v>220</v>
      </c>
      <c r="EG18" s="94">
        <f t="shared" si="6"/>
        <v>633.3599999999999</v>
      </c>
    </row>
    <row r="19" spans="1:147" ht="24.95" hidden="1" customHeight="1" x14ac:dyDescent="0.25">
      <c r="B19" s="1" t="s">
        <v>125</v>
      </c>
      <c r="C19" s="23">
        <v>47.75</v>
      </c>
      <c r="D19" s="47"/>
      <c r="E19" s="1" t="s">
        <v>25</v>
      </c>
      <c r="F19" s="23">
        <v>19.89</v>
      </c>
      <c r="G19" s="101"/>
      <c r="H19" s="27" t="s">
        <v>135</v>
      </c>
      <c r="I19" s="23">
        <v>47.74</v>
      </c>
      <c r="K19" s="34"/>
      <c r="L19" s="29" t="s">
        <v>27</v>
      </c>
      <c r="M19" s="142">
        <v>1039.8499999999999</v>
      </c>
      <c r="N19" s="47"/>
      <c r="O19" s="157" t="s">
        <v>55</v>
      </c>
      <c r="P19" s="158">
        <v>40.880000000000003</v>
      </c>
      <c r="X19" s="294" t="s">
        <v>423</v>
      </c>
      <c r="Y19" s="294"/>
      <c r="Z19" s="294"/>
      <c r="AC19" s="3" t="s">
        <v>4</v>
      </c>
      <c r="AD19" s="104">
        <v>-4</v>
      </c>
      <c r="AF19" s="3" t="s">
        <v>11</v>
      </c>
      <c r="AG19" s="4">
        <v>58.52</v>
      </c>
      <c r="AI19" s="98" t="s">
        <v>4</v>
      </c>
      <c r="AJ19" s="99">
        <v>-5.39</v>
      </c>
      <c r="AL19" s="98" t="s">
        <v>4</v>
      </c>
      <c r="AM19" s="99">
        <v>-5.39</v>
      </c>
      <c r="AO19" s="98" t="s">
        <v>4</v>
      </c>
      <c r="AP19" s="99">
        <v>-5.39</v>
      </c>
      <c r="AR19" s="98" t="s">
        <v>4</v>
      </c>
      <c r="AS19" s="99">
        <v>-5.39</v>
      </c>
      <c r="AU19" s="98" t="s">
        <v>4</v>
      </c>
      <c r="AV19" s="99">
        <v>-5.39</v>
      </c>
      <c r="AX19" s="98" t="s">
        <v>4</v>
      </c>
      <c r="AY19" s="99">
        <v>-5.39</v>
      </c>
      <c r="BA19" s="98" t="s">
        <v>4</v>
      </c>
      <c r="BB19" s="99">
        <v>-5.39</v>
      </c>
      <c r="BD19" s="98" t="s">
        <v>4</v>
      </c>
      <c r="BE19" s="99">
        <v>-5.39</v>
      </c>
      <c r="BG19" s="98" t="s">
        <v>4</v>
      </c>
      <c r="BH19" s="99">
        <v>-5.39</v>
      </c>
      <c r="BJ19" s="98" t="s">
        <v>4</v>
      </c>
      <c r="BK19" s="99">
        <v>-5.39</v>
      </c>
      <c r="BM19" s="98" t="s">
        <v>4</v>
      </c>
      <c r="BN19" s="99">
        <v>-5.39</v>
      </c>
      <c r="BP19" s="98" t="s">
        <v>4</v>
      </c>
      <c r="BQ19" s="99">
        <v>-5.39</v>
      </c>
      <c r="BS19" s="98" t="s">
        <v>4</v>
      </c>
      <c r="BT19" s="99">
        <v>-5.39</v>
      </c>
      <c r="BV19" s="98" t="s">
        <v>4</v>
      </c>
      <c r="BW19" s="99">
        <v>-5.39</v>
      </c>
      <c r="BY19" s="98" t="s">
        <v>4</v>
      </c>
      <c r="BZ19" s="99">
        <v>-5.39</v>
      </c>
      <c r="CB19" s="98" t="s">
        <v>4</v>
      </c>
      <c r="CC19" s="99">
        <v>-5.39</v>
      </c>
      <c r="CE19" s="98" t="s">
        <v>4</v>
      </c>
      <c r="CF19" s="99">
        <v>-5.39</v>
      </c>
      <c r="CH19" s="98" t="s">
        <v>4</v>
      </c>
      <c r="CI19" s="99">
        <v>-5.39</v>
      </c>
      <c r="CK19" s="98" t="s">
        <v>4</v>
      </c>
      <c r="CL19" s="99">
        <v>-5.39</v>
      </c>
      <c r="CN19" s="98" t="s">
        <v>4</v>
      </c>
      <c r="CO19" s="99">
        <v>-5.39</v>
      </c>
      <c r="CQ19" s="98" t="s">
        <v>4</v>
      </c>
      <c r="CR19" s="99">
        <v>-5.39</v>
      </c>
      <c r="CT19" s="98" t="s">
        <v>4</v>
      </c>
      <c r="CU19" s="99">
        <v>-5.39</v>
      </c>
      <c r="CW19" s="98" t="s">
        <v>4</v>
      </c>
      <c r="CX19" s="99">
        <v>-5.39</v>
      </c>
      <c r="CZ19" s="98" t="s">
        <v>4</v>
      </c>
      <c r="DA19" s="99">
        <v>-5.39</v>
      </c>
      <c r="DC19" s="98" t="s">
        <v>4</v>
      </c>
      <c r="DD19" s="99">
        <v>-5.39</v>
      </c>
      <c r="DF19" s="98" t="s">
        <v>4</v>
      </c>
      <c r="DG19" s="99">
        <v>-5.39</v>
      </c>
      <c r="DI19" s="132" t="s">
        <v>4</v>
      </c>
      <c r="DJ19" s="134">
        <v>-3.3</v>
      </c>
      <c r="DL19" s="54">
        <f t="shared" si="4"/>
        <v>12</v>
      </c>
      <c r="DM19" s="86" t="s">
        <v>221</v>
      </c>
      <c r="DN19" s="91">
        <f>BB72</f>
        <v>2294.83</v>
      </c>
      <c r="DO19" s="91" t="e">
        <f>#REF!</f>
        <v>#REF!</v>
      </c>
      <c r="DP19" s="91">
        <f>BB52</f>
        <v>18.38</v>
      </c>
      <c r="DQ19" s="91">
        <v>0</v>
      </c>
      <c r="DR19" s="91">
        <f>BB41</f>
        <v>134.96</v>
      </c>
      <c r="DS19" s="91" t="e">
        <f t="shared" si="0"/>
        <v>#REF!</v>
      </c>
      <c r="DT19" s="19" t="e">
        <f>BB71</f>
        <v>#REF!</v>
      </c>
      <c r="DU19" s="20">
        <f>BB61</f>
        <v>243.52</v>
      </c>
      <c r="DV19" s="92">
        <f>BB51</f>
        <v>24.240000000000002</v>
      </c>
      <c r="DW19" s="21">
        <f>BB40</f>
        <v>151.28</v>
      </c>
      <c r="DX19" s="93" t="e">
        <f t="shared" si="1"/>
        <v>#REF!</v>
      </c>
      <c r="DY19" s="94">
        <f>BB27</f>
        <v>750.24</v>
      </c>
      <c r="DZ19" s="93" t="e">
        <f t="shared" si="2"/>
        <v>#REF!</v>
      </c>
      <c r="EA19" s="93" t="e">
        <f t="shared" si="3"/>
        <v>#REF!</v>
      </c>
      <c r="EB19" s="93"/>
      <c r="EC19" s="86"/>
      <c r="ED19" s="55" t="e">
        <f>DX19/0.8</f>
        <v>#REF!</v>
      </c>
      <c r="EE19" s="54">
        <f t="shared" si="5"/>
        <v>12</v>
      </c>
      <c r="EF19" s="54" t="s">
        <v>221</v>
      </c>
      <c r="EG19" s="94">
        <f t="shared" si="6"/>
        <v>750.24</v>
      </c>
    </row>
    <row r="20" spans="1:147" ht="45" hidden="1" customHeight="1" x14ac:dyDescent="0.25">
      <c r="B20" s="1" t="s">
        <v>4</v>
      </c>
      <c r="C20" s="23">
        <v>-3.81</v>
      </c>
      <c r="D20" s="47"/>
      <c r="E20" s="27" t="s">
        <v>125</v>
      </c>
      <c r="F20" s="23">
        <v>47.75</v>
      </c>
      <c r="G20" s="101"/>
      <c r="H20" s="1" t="s">
        <v>4</v>
      </c>
      <c r="I20" s="23">
        <v>-4.8</v>
      </c>
      <c r="K20" s="34"/>
      <c r="L20" s="29" t="s">
        <v>4</v>
      </c>
      <c r="M20" s="30">
        <v>-1.38</v>
      </c>
      <c r="N20" s="47"/>
      <c r="O20" s="9" t="s">
        <v>56</v>
      </c>
      <c r="P20" s="10">
        <v>45.69</v>
      </c>
      <c r="X20" s="35"/>
      <c r="Y20" s="35"/>
      <c r="Z20" s="35"/>
      <c r="AC20" s="3" t="s">
        <v>64</v>
      </c>
      <c r="AD20" s="4">
        <f>27.26-1.44</f>
        <v>25.82</v>
      </c>
      <c r="AF20" s="3" t="s">
        <v>4</v>
      </c>
      <c r="AG20" s="4">
        <v>-5.21</v>
      </c>
      <c r="AI20" s="98" t="s">
        <v>288</v>
      </c>
      <c r="AJ20" s="99">
        <v>61.95</v>
      </c>
      <c r="AL20" s="166" t="s">
        <v>426</v>
      </c>
      <c r="AM20" s="99">
        <v>153.32</v>
      </c>
      <c r="AO20" s="98" t="s">
        <v>288</v>
      </c>
      <c r="AP20" s="99">
        <v>153.32</v>
      </c>
      <c r="AR20" s="98"/>
      <c r="AS20" s="99"/>
      <c r="AU20" s="98" t="s">
        <v>288</v>
      </c>
      <c r="AV20" s="99">
        <v>153.32</v>
      </c>
      <c r="AX20" s="166" t="s">
        <v>426</v>
      </c>
      <c r="AY20" s="99">
        <v>153.32</v>
      </c>
      <c r="BA20" s="98" t="s">
        <v>288</v>
      </c>
      <c r="BB20" s="99">
        <v>153.32</v>
      </c>
      <c r="BD20" s="98"/>
      <c r="BE20" s="99"/>
      <c r="BG20" s="98" t="s">
        <v>282</v>
      </c>
      <c r="BH20" s="99">
        <f>138.75-12.24</f>
        <v>126.51</v>
      </c>
      <c r="BJ20" s="98" t="s">
        <v>288</v>
      </c>
      <c r="BK20" s="105">
        <v>112.65</v>
      </c>
      <c r="BM20" s="98" t="s">
        <v>288</v>
      </c>
      <c r="BN20" s="105">
        <v>112.65</v>
      </c>
      <c r="BP20" s="98"/>
      <c r="BQ20" s="99"/>
      <c r="BS20" s="98" t="s">
        <v>288</v>
      </c>
      <c r="BT20" s="105">
        <v>112.65</v>
      </c>
      <c r="BV20" s="98" t="s">
        <v>288</v>
      </c>
      <c r="BW20" s="105">
        <v>112.65</v>
      </c>
      <c r="BY20" s="98" t="s">
        <v>288</v>
      </c>
      <c r="BZ20" s="105">
        <v>112.65</v>
      </c>
      <c r="CB20" s="98"/>
      <c r="CC20" s="99"/>
      <c r="CE20" s="98" t="s">
        <v>288</v>
      </c>
      <c r="CF20" s="105">
        <v>112.65</v>
      </c>
      <c r="CH20" s="98" t="s">
        <v>288</v>
      </c>
      <c r="CI20" s="105">
        <v>112.65</v>
      </c>
      <c r="CK20" s="98" t="s">
        <v>283</v>
      </c>
      <c r="CL20" s="99">
        <f>138.75-12</f>
        <v>126.75</v>
      </c>
      <c r="CN20" s="98"/>
      <c r="CO20" s="99"/>
      <c r="CQ20" s="98" t="s">
        <v>288</v>
      </c>
      <c r="CR20" s="99">
        <v>71.930000000000007</v>
      </c>
      <c r="CT20" s="98" t="s">
        <v>288</v>
      </c>
      <c r="CU20" s="99">
        <v>71.930000000000007</v>
      </c>
      <c r="CW20" s="98"/>
      <c r="CX20" s="99"/>
      <c r="CZ20" s="98" t="s">
        <v>288</v>
      </c>
      <c r="DA20" s="99">
        <v>71.930000000000007</v>
      </c>
      <c r="DC20" s="98" t="s">
        <v>288</v>
      </c>
      <c r="DD20" s="99">
        <v>71.930000000000007</v>
      </c>
      <c r="DF20" s="98" t="s">
        <v>250</v>
      </c>
      <c r="DG20" s="105">
        <v>32.299999999999997</v>
      </c>
      <c r="DI20" s="55" t="s">
        <v>323</v>
      </c>
      <c r="DJ20" s="55">
        <f>484.48-34.37</f>
        <v>450.11</v>
      </c>
      <c r="DL20" s="54">
        <f t="shared" si="4"/>
        <v>13</v>
      </c>
      <c r="DM20" s="86" t="s">
        <v>222</v>
      </c>
      <c r="DN20" s="91">
        <f>BE72</f>
        <v>2417.38</v>
      </c>
      <c r="DO20" s="91" t="e">
        <f>#REF!</f>
        <v>#REF!</v>
      </c>
      <c r="DP20" s="91">
        <f>BE52</f>
        <v>18.38</v>
      </c>
      <c r="DQ20" s="91">
        <v>0</v>
      </c>
      <c r="DR20" s="91">
        <f>BE41</f>
        <v>134.96</v>
      </c>
      <c r="DS20" s="91" t="e">
        <f t="shared" si="0"/>
        <v>#REF!</v>
      </c>
      <c r="DT20" s="19" t="e">
        <f>BE71</f>
        <v>#REF!</v>
      </c>
      <c r="DU20" s="20">
        <f>BE61</f>
        <v>243.52</v>
      </c>
      <c r="DV20" s="92">
        <f>BE51</f>
        <v>24.240000000000002</v>
      </c>
      <c r="DW20" s="21">
        <f>BE40</f>
        <v>151.28</v>
      </c>
      <c r="DX20" s="93" t="e">
        <f t="shared" si="1"/>
        <v>#REF!</v>
      </c>
      <c r="DY20" s="94">
        <f>BE27</f>
        <v>900.94999999999993</v>
      </c>
      <c r="DZ20" s="93" t="e">
        <f t="shared" si="2"/>
        <v>#REF!</v>
      </c>
      <c r="EA20" s="93" t="e">
        <f t="shared" si="3"/>
        <v>#REF!</v>
      </c>
      <c r="EB20" s="93"/>
      <c r="EC20" s="90" t="s">
        <v>238</v>
      </c>
      <c r="EE20" s="54">
        <f t="shared" si="5"/>
        <v>13</v>
      </c>
      <c r="EF20" s="54" t="s">
        <v>222</v>
      </c>
      <c r="EG20" s="94">
        <f t="shared" si="6"/>
        <v>900.94999999999993</v>
      </c>
      <c r="EI20" s="31" t="s">
        <v>451</v>
      </c>
      <c r="EJ20" s="199"/>
      <c r="EK20" s="199"/>
      <c r="EL20" s="119"/>
      <c r="EM20" s="119"/>
      <c r="EN20" s="119"/>
      <c r="EO20" s="199"/>
      <c r="EP20" s="199"/>
      <c r="EQ20" s="257"/>
    </row>
    <row r="21" spans="1:147" ht="24.95" hidden="1" customHeight="1" x14ac:dyDescent="0.25">
      <c r="B21" s="1" t="s">
        <v>126</v>
      </c>
      <c r="C21" s="23">
        <v>39.06</v>
      </c>
      <c r="D21" s="47"/>
      <c r="E21" s="27" t="s">
        <v>4</v>
      </c>
      <c r="F21" s="23">
        <v>-4.8</v>
      </c>
      <c r="G21" s="101"/>
      <c r="H21" s="1" t="s">
        <v>126</v>
      </c>
      <c r="I21" s="23">
        <v>39.06</v>
      </c>
      <c r="K21" s="34"/>
      <c r="L21" s="29" t="s">
        <v>143</v>
      </c>
      <c r="M21" s="30">
        <f>128.45-0.09</f>
        <v>128.35999999999999</v>
      </c>
      <c r="O21" s="9" t="s">
        <v>57</v>
      </c>
      <c r="P21" s="10">
        <v>75.87</v>
      </c>
      <c r="X21" s="35"/>
      <c r="Y21" s="35"/>
      <c r="Z21" s="35"/>
      <c r="AC21" s="3" t="s">
        <v>149</v>
      </c>
      <c r="AD21" s="4">
        <v>702.05</v>
      </c>
      <c r="AF21" s="67" t="s">
        <v>24</v>
      </c>
      <c r="AG21" s="68">
        <v>37.82</v>
      </c>
      <c r="AR21" s="98" t="s">
        <v>232</v>
      </c>
      <c r="AS21" s="99">
        <v>129.38</v>
      </c>
      <c r="BD21" s="98" t="s">
        <v>232</v>
      </c>
      <c r="BE21" s="99">
        <v>129.38</v>
      </c>
      <c r="BG21" s="98" t="s">
        <v>288</v>
      </c>
      <c r="BH21" s="105">
        <v>132.93</v>
      </c>
      <c r="BP21" s="98" t="s">
        <v>232</v>
      </c>
      <c r="BQ21" s="99">
        <v>129.38</v>
      </c>
      <c r="CB21" s="98" t="s">
        <v>232</v>
      </c>
      <c r="CC21" s="99">
        <v>129.38</v>
      </c>
      <c r="CK21" s="98" t="s">
        <v>288</v>
      </c>
      <c r="CL21" s="105">
        <v>92.28</v>
      </c>
      <c r="CN21" s="98" t="s">
        <v>232</v>
      </c>
      <c r="CO21" s="99">
        <v>129.38</v>
      </c>
      <c r="CW21" s="98" t="s">
        <v>232</v>
      </c>
      <c r="CX21" s="99">
        <v>129.38</v>
      </c>
      <c r="DF21" s="98" t="s">
        <v>4</v>
      </c>
      <c r="DG21" s="99">
        <v>-2.87</v>
      </c>
      <c r="DL21" s="54">
        <f t="shared" si="4"/>
        <v>14</v>
      </c>
      <c r="DM21" s="86" t="s">
        <v>223</v>
      </c>
      <c r="DN21" s="91">
        <f>BH72</f>
        <v>2602.8599999999997</v>
      </c>
      <c r="DO21" s="91" t="e">
        <f>#REF!</f>
        <v>#REF!</v>
      </c>
      <c r="DP21" s="91">
        <f>BH52</f>
        <v>18.38</v>
      </c>
      <c r="DQ21" s="91">
        <v>0</v>
      </c>
      <c r="DR21" s="91">
        <f>BH41</f>
        <v>134.96</v>
      </c>
      <c r="DS21" s="91" t="e">
        <f t="shared" si="0"/>
        <v>#REF!</v>
      </c>
      <c r="DT21" s="19" t="e">
        <f>BH71</f>
        <v>#REF!</v>
      </c>
      <c r="DU21" s="20">
        <f>BH61</f>
        <v>243.52</v>
      </c>
      <c r="DV21" s="92">
        <f>BH51</f>
        <v>24.240000000000002</v>
      </c>
      <c r="DW21" s="21">
        <f>BH40</f>
        <v>151.28</v>
      </c>
      <c r="DX21" s="93" t="e">
        <f t="shared" si="1"/>
        <v>#REF!</v>
      </c>
      <c r="DY21" s="94">
        <f>BH27</f>
        <v>729.84999999999991</v>
      </c>
      <c r="DZ21" s="93" t="e">
        <f t="shared" si="2"/>
        <v>#REF!</v>
      </c>
      <c r="EA21" s="93" t="e">
        <f t="shared" si="3"/>
        <v>#REF!</v>
      </c>
      <c r="EB21" s="93"/>
      <c r="EC21" s="86"/>
      <c r="EE21" s="54">
        <f t="shared" si="5"/>
        <v>14</v>
      </c>
      <c r="EF21" s="54" t="s">
        <v>223</v>
      </c>
      <c r="EG21" s="94">
        <f t="shared" si="6"/>
        <v>729.84999999999991</v>
      </c>
      <c r="EI21" s="31"/>
      <c r="EJ21" s="199"/>
      <c r="EK21" s="199"/>
      <c r="EL21" s="119"/>
      <c r="EM21" s="119"/>
      <c r="EN21" s="119"/>
      <c r="EO21" s="199"/>
      <c r="EP21" s="199"/>
      <c r="EQ21" s="257"/>
    </row>
    <row r="22" spans="1:147" ht="24.95" hidden="1" customHeight="1" x14ac:dyDescent="0.25">
      <c r="B22" s="1" t="s">
        <v>4</v>
      </c>
      <c r="C22" s="23">
        <v>-5.2</v>
      </c>
      <c r="D22" s="47"/>
      <c r="E22" s="1" t="s">
        <v>126</v>
      </c>
      <c r="F22" s="23">
        <v>39.06</v>
      </c>
      <c r="G22" s="101"/>
      <c r="H22" s="1" t="s">
        <v>4</v>
      </c>
      <c r="I22" s="23">
        <v>-5.2</v>
      </c>
      <c r="K22" s="34" t="s">
        <v>49</v>
      </c>
      <c r="L22" s="9" t="s">
        <v>137</v>
      </c>
      <c r="M22" s="10">
        <v>22.12</v>
      </c>
      <c r="O22" s="9" t="s">
        <v>4</v>
      </c>
      <c r="P22" s="10">
        <v>-3.26</v>
      </c>
      <c r="X22" s="35"/>
      <c r="Y22" s="198" t="s">
        <v>155</v>
      </c>
      <c r="Z22" s="35"/>
      <c r="AC22" s="3" t="s">
        <v>4</v>
      </c>
      <c r="AD22" s="4">
        <v>-8.82</v>
      </c>
      <c r="AF22" s="67" t="s">
        <v>38</v>
      </c>
      <c r="AG22" s="68">
        <v>37.82</v>
      </c>
      <c r="AR22" s="98" t="s">
        <v>233</v>
      </c>
      <c r="AS22" s="99">
        <v>129.38</v>
      </c>
      <c r="BD22" s="98" t="s">
        <v>233</v>
      </c>
      <c r="BE22" s="99">
        <v>129.38</v>
      </c>
      <c r="BP22" s="98" t="s">
        <v>233</v>
      </c>
      <c r="BQ22" s="99">
        <v>129.38</v>
      </c>
      <c r="CB22" s="98" t="s">
        <v>233</v>
      </c>
      <c r="CC22" s="99">
        <v>129.38</v>
      </c>
      <c r="CN22" s="98" t="s">
        <v>233</v>
      </c>
      <c r="CO22" s="99">
        <v>129.38</v>
      </c>
      <c r="CW22" s="98" t="s">
        <v>233</v>
      </c>
      <c r="CX22" s="99">
        <v>129.38</v>
      </c>
      <c r="DF22" s="98" t="s">
        <v>288</v>
      </c>
      <c r="DG22" s="99">
        <v>107.01</v>
      </c>
      <c r="DI22"/>
      <c r="DL22" s="54">
        <f t="shared" si="4"/>
        <v>15</v>
      </c>
      <c r="DM22" s="86" t="s">
        <v>198</v>
      </c>
      <c r="DN22" s="91">
        <f>BK72</f>
        <v>2121.84</v>
      </c>
      <c r="DO22" s="91" t="e">
        <f>#REF!</f>
        <v>#REF!</v>
      </c>
      <c r="DP22" s="91">
        <f>BK52</f>
        <v>18.38</v>
      </c>
      <c r="DQ22" s="91">
        <v>0</v>
      </c>
      <c r="DR22" s="91">
        <f>BK41</f>
        <v>134.96</v>
      </c>
      <c r="DS22" s="91" t="e">
        <f t="shared" si="0"/>
        <v>#REF!</v>
      </c>
      <c r="DT22" s="19" t="e">
        <f>BK71</f>
        <v>#REF!</v>
      </c>
      <c r="DU22" s="20">
        <f>BK61</f>
        <v>243.52</v>
      </c>
      <c r="DV22" s="92">
        <f>BK51</f>
        <v>24.240000000000002</v>
      </c>
      <c r="DW22" s="21">
        <f>BK40</f>
        <v>151.28</v>
      </c>
      <c r="DX22" s="93" t="e">
        <f t="shared" si="1"/>
        <v>#REF!</v>
      </c>
      <c r="DY22" s="94">
        <f>BK27</f>
        <v>524.75</v>
      </c>
      <c r="DZ22" s="93" t="e">
        <f t="shared" si="2"/>
        <v>#REF!</v>
      </c>
      <c r="EA22" s="93" t="e">
        <f t="shared" si="3"/>
        <v>#REF!</v>
      </c>
      <c r="EB22" s="93"/>
      <c r="EC22" s="86"/>
      <c r="EE22" s="54">
        <f t="shared" si="5"/>
        <v>15</v>
      </c>
      <c r="EF22" s="54" t="s">
        <v>198</v>
      </c>
      <c r="EG22" s="94">
        <f t="shared" si="6"/>
        <v>524.75</v>
      </c>
      <c r="EI22" s="31"/>
      <c r="EJ22" s="199"/>
      <c r="EK22" s="199"/>
      <c r="EL22" s="119"/>
      <c r="EM22" s="119"/>
      <c r="EN22" s="119"/>
      <c r="EO22" s="199"/>
      <c r="EP22" s="199"/>
      <c r="EQ22" s="257"/>
    </row>
    <row r="23" spans="1:147" ht="24.95" hidden="1" customHeight="1" x14ac:dyDescent="0.25">
      <c r="B23" s="1" t="s">
        <v>7</v>
      </c>
      <c r="C23" s="23">
        <v>49.13</v>
      </c>
      <c r="D23" s="47"/>
      <c r="E23" s="1" t="s">
        <v>4</v>
      </c>
      <c r="F23" s="23">
        <v>-5.2</v>
      </c>
      <c r="G23" s="101"/>
      <c r="H23" s="1" t="s">
        <v>7</v>
      </c>
      <c r="I23" s="23">
        <v>49.13</v>
      </c>
      <c r="K23" s="34"/>
      <c r="L23" s="9" t="s">
        <v>4</v>
      </c>
      <c r="M23" s="10">
        <v>-1.68</v>
      </c>
      <c r="O23" s="9" t="s">
        <v>58</v>
      </c>
      <c r="P23" s="10">
        <v>76.91</v>
      </c>
      <c r="X23" s="39" t="s">
        <v>12</v>
      </c>
      <c r="Y23" s="87">
        <f>Y25+Y26+Y27+Y24</f>
        <v>154927.91</v>
      </c>
      <c r="Z23" s="164">
        <f>C31+C32+C33+C35+C36+C37+F32+F33+F34+F36+F37+F38+I31+I32+I33+I35+I36+I37+M13+M14+M15+M16+M17+M18+M19+M20+M21+M42+M37+M38+M43+M47+M48+M49+M51+P27+P28+P29+P30+P34+P35+P36+P37+S18+V9</f>
        <v>3771.3499999999995</v>
      </c>
      <c r="AC23" s="3" t="s">
        <v>23</v>
      </c>
      <c r="AD23" s="4">
        <v>54.19</v>
      </c>
      <c r="AF23" s="75" t="s">
        <v>36</v>
      </c>
      <c r="AG23" s="74">
        <f>15.8-3.68</f>
        <v>12.120000000000001</v>
      </c>
      <c r="AR23" s="98" t="s">
        <v>288</v>
      </c>
      <c r="AS23" s="99">
        <v>162.15</v>
      </c>
      <c r="BD23" s="98" t="s">
        <v>288</v>
      </c>
      <c r="BE23" s="99">
        <v>162.15</v>
      </c>
      <c r="BP23" s="98" t="s">
        <v>288</v>
      </c>
      <c r="BQ23" s="105">
        <v>121.44</v>
      </c>
      <c r="CB23" s="98" t="s">
        <v>288</v>
      </c>
      <c r="CC23" s="105">
        <v>121.44</v>
      </c>
      <c r="CN23" s="98" t="s">
        <v>288</v>
      </c>
      <c r="CO23" s="99">
        <v>80.739999999999995</v>
      </c>
      <c r="CW23" s="98" t="s">
        <v>288</v>
      </c>
      <c r="CX23" s="99">
        <v>80.739999999999995</v>
      </c>
      <c r="DF23" s="98"/>
      <c r="DG23" s="99"/>
      <c r="DI23"/>
      <c r="DL23" s="54">
        <f t="shared" si="4"/>
        <v>16</v>
      </c>
      <c r="DM23" s="86" t="s">
        <v>199</v>
      </c>
      <c r="DN23" s="91">
        <f>BN72</f>
        <v>2745.71</v>
      </c>
      <c r="DO23" s="91" t="e">
        <f>#REF!</f>
        <v>#REF!</v>
      </c>
      <c r="DP23" s="91">
        <f>BN52</f>
        <v>18.38</v>
      </c>
      <c r="DQ23" s="91">
        <v>0</v>
      </c>
      <c r="DR23" s="91">
        <f>BN41</f>
        <v>134.96</v>
      </c>
      <c r="DS23" s="91" t="e">
        <f t="shared" si="0"/>
        <v>#REF!</v>
      </c>
      <c r="DT23" s="19" t="e">
        <f>BN71</f>
        <v>#REF!</v>
      </c>
      <c r="DU23" s="20">
        <f>BN61</f>
        <v>243.52</v>
      </c>
      <c r="DV23" s="92">
        <f>BN51</f>
        <v>24.240000000000002</v>
      </c>
      <c r="DW23" s="21">
        <f>BN40</f>
        <v>151.28</v>
      </c>
      <c r="DX23" s="93" t="e">
        <f t="shared" si="1"/>
        <v>#REF!</v>
      </c>
      <c r="DY23" s="94">
        <f>BN27</f>
        <v>583.05999999999995</v>
      </c>
      <c r="DZ23" s="93" t="e">
        <f t="shared" si="2"/>
        <v>#REF!</v>
      </c>
      <c r="EA23" s="93" t="e">
        <f t="shared" si="3"/>
        <v>#REF!</v>
      </c>
      <c r="EB23" s="93"/>
      <c r="EC23" s="86"/>
      <c r="EE23" s="54">
        <f t="shared" si="5"/>
        <v>16</v>
      </c>
      <c r="EF23" s="54" t="s">
        <v>199</v>
      </c>
      <c r="EG23" s="94">
        <f t="shared" si="6"/>
        <v>583.05999999999995</v>
      </c>
      <c r="EI23" s="31"/>
      <c r="EJ23" s="199"/>
      <c r="EK23" s="199"/>
      <c r="EL23" s="119"/>
      <c r="EM23" s="119"/>
      <c r="EN23" s="119"/>
      <c r="EO23" s="199"/>
      <c r="EP23" s="199"/>
      <c r="EQ23" s="257"/>
    </row>
    <row r="24" spans="1:147" ht="45" hidden="1" customHeight="1" x14ac:dyDescent="0.25">
      <c r="B24" s="1" t="s">
        <v>4</v>
      </c>
      <c r="C24" s="23">
        <v>-4.2</v>
      </c>
      <c r="D24" s="47"/>
      <c r="E24" s="1" t="s">
        <v>7</v>
      </c>
      <c r="F24" s="23">
        <v>49.12</v>
      </c>
      <c r="G24" s="101"/>
      <c r="H24" s="1" t="s">
        <v>4</v>
      </c>
      <c r="I24" s="23">
        <v>-5.19</v>
      </c>
      <c r="K24" s="34"/>
      <c r="L24" s="9" t="s">
        <v>39</v>
      </c>
      <c r="M24" s="10">
        <v>53.33</v>
      </c>
      <c r="O24" s="9" t="s">
        <v>59</v>
      </c>
      <c r="P24" s="10">
        <v>122.33</v>
      </c>
      <c r="X24" s="86" t="s">
        <v>151</v>
      </c>
      <c r="Y24" s="165">
        <v>91056.69</v>
      </c>
      <c r="Z24" s="93">
        <f>(Y24*$Z$23)/$Y$23</f>
        <v>2216.5576740272295</v>
      </c>
      <c r="AC24" s="3" t="s">
        <v>11</v>
      </c>
      <c r="AD24" s="4">
        <v>54.8</v>
      </c>
      <c r="AF24" s="75" t="s">
        <v>37</v>
      </c>
      <c r="AG24" s="74">
        <f>15.8-3.68</f>
        <v>12.120000000000001</v>
      </c>
      <c r="AP24" s="79"/>
      <c r="AY24" s="79"/>
      <c r="BB24" s="79"/>
      <c r="DG24" s="55">
        <f>37.56-3.12</f>
        <v>34.440000000000005</v>
      </c>
      <c r="DI24"/>
      <c r="DL24" s="54">
        <f t="shared" si="4"/>
        <v>17</v>
      </c>
      <c r="DM24" s="86" t="s">
        <v>200</v>
      </c>
      <c r="DN24" s="91">
        <f>BQ72</f>
        <v>2494.42</v>
      </c>
      <c r="DO24" s="91" t="e">
        <f>#REF!</f>
        <v>#REF!</v>
      </c>
      <c r="DP24" s="91">
        <f>BQ52</f>
        <v>18.38</v>
      </c>
      <c r="DQ24" s="91">
        <v>0</v>
      </c>
      <c r="DR24" s="91">
        <f>BQ41</f>
        <v>134.96</v>
      </c>
      <c r="DS24" s="91" t="e">
        <f t="shared" si="0"/>
        <v>#REF!</v>
      </c>
      <c r="DT24" s="19" t="e">
        <f>BQ71</f>
        <v>#REF!</v>
      </c>
      <c r="DU24" s="20">
        <f>BQ61</f>
        <v>243.52</v>
      </c>
      <c r="DV24" s="92">
        <f>BQ51</f>
        <v>24.240000000000002</v>
      </c>
      <c r="DW24" s="21">
        <f>BQ40</f>
        <v>151.28</v>
      </c>
      <c r="DX24" s="93" t="e">
        <f t="shared" si="1"/>
        <v>#REF!</v>
      </c>
      <c r="DY24" s="94">
        <f>BQ27</f>
        <v>790.45</v>
      </c>
      <c r="DZ24" s="93" t="e">
        <f t="shared" si="2"/>
        <v>#REF!</v>
      </c>
      <c r="EA24" s="93" t="e">
        <f t="shared" si="3"/>
        <v>#REF!</v>
      </c>
      <c r="EB24" s="93"/>
      <c r="EC24" s="90" t="s">
        <v>238</v>
      </c>
      <c r="EE24" s="54">
        <f t="shared" si="5"/>
        <v>17</v>
      </c>
      <c r="EF24" s="54" t="s">
        <v>200</v>
      </c>
      <c r="EG24" s="94">
        <f t="shared" si="6"/>
        <v>790.45</v>
      </c>
      <c r="EI24" s="31"/>
      <c r="EJ24" s="199"/>
      <c r="EK24" s="199"/>
      <c r="EL24" s="119"/>
      <c r="EM24" s="119"/>
      <c r="EN24" s="119"/>
      <c r="EO24" s="199"/>
      <c r="EP24" s="199"/>
      <c r="EQ24" s="257"/>
    </row>
    <row r="25" spans="1:147" ht="24.95" hidden="1" customHeight="1" x14ac:dyDescent="0.25">
      <c r="A25" s="10" t="s">
        <v>49</v>
      </c>
      <c r="B25" s="9" t="s">
        <v>134</v>
      </c>
      <c r="C25" s="28">
        <v>43.4</v>
      </c>
      <c r="D25" s="47"/>
      <c r="E25" s="1" t="s">
        <v>4</v>
      </c>
      <c r="F25" s="23">
        <v>-5.19</v>
      </c>
      <c r="G25" s="135" t="s">
        <v>49</v>
      </c>
      <c r="H25" s="9" t="s">
        <v>134</v>
      </c>
      <c r="I25" s="28">
        <v>43.4</v>
      </c>
      <c r="K25" s="34"/>
      <c r="L25" s="9" t="s">
        <v>40</v>
      </c>
      <c r="M25" s="10">
        <v>7.35</v>
      </c>
      <c r="O25" s="9" t="s">
        <v>60</v>
      </c>
      <c r="P25" s="10">
        <v>168.28</v>
      </c>
      <c r="X25" s="86" t="s">
        <v>152</v>
      </c>
      <c r="Y25" s="165">
        <v>56208.97</v>
      </c>
      <c r="Z25" s="93">
        <f>(Y25*$Z$23)/$Y$23</f>
        <v>1368.273147230218</v>
      </c>
      <c r="AC25" s="3" t="s">
        <v>4</v>
      </c>
      <c r="AD25" s="104">
        <v>-2.6</v>
      </c>
      <c r="AF25" s="73" t="s">
        <v>420</v>
      </c>
      <c r="AG25" s="72">
        <f>134.52-12.76</f>
        <v>121.76</v>
      </c>
      <c r="AP25" s="79"/>
      <c r="AY25" s="79"/>
      <c r="BB25" s="79"/>
      <c r="DI25"/>
      <c r="DL25" s="54">
        <f t="shared" si="4"/>
        <v>18</v>
      </c>
      <c r="DM25" s="86" t="s">
        <v>201</v>
      </c>
      <c r="DN25" s="91">
        <f>BT72</f>
        <v>2745.71</v>
      </c>
      <c r="DO25" s="91" t="e">
        <f>#REF!</f>
        <v>#REF!</v>
      </c>
      <c r="DP25" s="91">
        <f>BT52</f>
        <v>18.38</v>
      </c>
      <c r="DQ25" s="91">
        <v>0</v>
      </c>
      <c r="DR25" s="91">
        <f>BT41</f>
        <v>134.96</v>
      </c>
      <c r="DS25" s="91" t="e">
        <f t="shared" si="0"/>
        <v>#REF!</v>
      </c>
      <c r="DT25" s="19" t="e">
        <f>BT71</f>
        <v>#REF!</v>
      </c>
      <c r="DU25" s="20">
        <f>BT61</f>
        <v>243.52</v>
      </c>
      <c r="DV25" s="92">
        <f>BT51</f>
        <v>24.240000000000002</v>
      </c>
      <c r="DW25" s="21">
        <f>BT40</f>
        <v>151.28</v>
      </c>
      <c r="DX25" s="93" t="e">
        <f t="shared" si="1"/>
        <v>#REF!</v>
      </c>
      <c r="DY25" s="94">
        <f>BT27</f>
        <v>583.05999999999995</v>
      </c>
      <c r="DZ25" s="93" t="e">
        <f t="shared" si="2"/>
        <v>#REF!</v>
      </c>
      <c r="EA25" s="93" t="e">
        <f t="shared" si="3"/>
        <v>#REF!</v>
      </c>
      <c r="EB25" s="93"/>
      <c r="EC25" s="86"/>
      <c r="EE25" s="54">
        <f t="shared" si="5"/>
        <v>18</v>
      </c>
      <c r="EF25" s="54" t="s">
        <v>201</v>
      </c>
      <c r="EG25" s="94">
        <f t="shared" si="6"/>
        <v>583.05999999999995</v>
      </c>
    </row>
    <row r="26" spans="1:147" ht="24.95" hidden="1" customHeight="1" x14ac:dyDescent="0.25">
      <c r="A26" s="31"/>
      <c r="B26" s="9" t="s">
        <v>4</v>
      </c>
      <c r="C26" s="10">
        <v>-2.66</v>
      </c>
      <c r="D26" s="135" t="s">
        <v>49</v>
      </c>
      <c r="E26" s="9" t="s">
        <v>134</v>
      </c>
      <c r="F26" s="28">
        <v>43.4</v>
      </c>
      <c r="G26" s="101"/>
      <c r="H26" s="9" t="s">
        <v>4</v>
      </c>
      <c r="I26" s="10">
        <v>-2.66</v>
      </c>
      <c r="K26" s="34"/>
      <c r="L26" s="9" t="s">
        <v>41</v>
      </c>
      <c r="M26" s="10">
        <v>12.69</v>
      </c>
      <c r="O26" s="9" t="s">
        <v>61</v>
      </c>
      <c r="P26" s="10">
        <v>224.5</v>
      </c>
      <c r="X26" s="86" t="s">
        <v>167</v>
      </c>
      <c r="Y26" s="165">
        <v>6623.36</v>
      </c>
      <c r="Z26" s="93">
        <f>(Y26*$Z$23)/$Y$23</f>
        <v>161.22988256925427</v>
      </c>
      <c r="AA26" s="40"/>
      <c r="AC26" s="144" t="s">
        <v>24</v>
      </c>
      <c r="AD26" s="145">
        <v>37.82</v>
      </c>
      <c r="AF26" s="73" t="s">
        <v>420</v>
      </c>
      <c r="AG26" s="72">
        <f>134.52-12.76</f>
        <v>121.76</v>
      </c>
      <c r="DI26"/>
      <c r="DL26" s="54">
        <f t="shared" si="4"/>
        <v>19</v>
      </c>
      <c r="DM26" s="86" t="s">
        <v>202</v>
      </c>
      <c r="DN26" s="91">
        <f>BW72</f>
        <v>2796.98</v>
      </c>
      <c r="DO26" s="91" t="e">
        <f>#REF!</f>
        <v>#REF!</v>
      </c>
      <c r="DP26" s="91">
        <f>BW52</f>
        <v>18.38</v>
      </c>
      <c r="DQ26" s="91">
        <v>0</v>
      </c>
      <c r="DR26" s="91">
        <f>BW41</f>
        <v>134.96</v>
      </c>
      <c r="DS26" s="91" t="e">
        <f t="shared" si="0"/>
        <v>#REF!</v>
      </c>
      <c r="DT26" s="19" t="e">
        <f>BW71</f>
        <v>#REF!</v>
      </c>
      <c r="DU26" s="20">
        <f>BW61</f>
        <v>243.52</v>
      </c>
      <c r="DV26" s="92">
        <f>BW51</f>
        <v>24.240000000000002</v>
      </c>
      <c r="DW26" s="21">
        <f>BW40</f>
        <v>151.28</v>
      </c>
      <c r="DX26" s="93" t="e">
        <f t="shared" si="1"/>
        <v>#REF!</v>
      </c>
      <c r="DY26" s="94">
        <f>BW27</f>
        <v>522.9</v>
      </c>
      <c r="DZ26" s="93" t="e">
        <f t="shared" si="2"/>
        <v>#REF!</v>
      </c>
      <c r="EA26" s="93" t="e">
        <f t="shared" si="3"/>
        <v>#REF!</v>
      </c>
      <c r="EB26" s="93"/>
      <c r="EC26" s="86"/>
      <c r="EE26" s="54">
        <f t="shared" si="5"/>
        <v>19</v>
      </c>
      <c r="EF26" s="54" t="s">
        <v>202</v>
      </c>
      <c r="EG26" s="94">
        <f t="shared" si="6"/>
        <v>522.9</v>
      </c>
    </row>
    <row r="27" spans="1:147" ht="24.95" hidden="1" customHeight="1" x14ac:dyDescent="0.25">
      <c r="B27" s="9" t="s">
        <v>91</v>
      </c>
      <c r="C27" s="10">
        <v>16.64</v>
      </c>
      <c r="D27" s="47"/>
      <c r="E27" s="9" t="s">
        <v>4</v>
      </c>
      <c r="F27" s="10">
        <v>-2.66</v>
      </c>
      <c r="G27" s="101"/>
      <c r="H27" s="9" t="s">
        <v>91</v>
      </c>
      <c r="I27" s="10">
        <v>16.64</v>
      </c>
      <c r="K27" s="34"/>
      <c r="L27" s="9" t="s">
        <v>43</v>
      </c>
      <c r="M27" s="10">
        <v>31.71</v>
      </c>
      <c r="O27" s="177" t="s">
        <v>141</v>
      </c>
      <c r="P27" s="8">
        <v>14.44</v>
      </c>
      <c r="X27" s="86" t="s">
        <v>168</v>
      </c>
      <c r="Y27" s="165">
        <v>1038.8900000000001</v>
      </c>
      <c r="Z27" s="93">
        <f>(Y27*$Z$23)/$Y$23</f>
        <v>25.289296173297629</v>
      </c>
      <c r="AA27" s="191">
        <f>Z26+Z27+Z36+Z37</f>
        <v>315.40615091875264</v>
      </c>
      <c r="AC27" s="144" t="s">
        <v>38</v>
      </c>
      <c r="AD27" s="145">
        <v>37.82</v>
      </c>
      <c r="AF27" s="78" t="s">
        <v>229</v>
      </c>
      <c r="AG27" s="148">
        <f>SUM(AG8:AG26)</f>
        <v>1467.2899999999995</v>
      </c>
      <c r="AI27" s="78" t="s">
        <v>229</v>
      </c>
      <c r="AJ27" s="148">
        <f>SUM(AJ8:AJ26)</f>
        <v>659.61</v>
      </c>
      <c r="AL27" s="78" t="s">
        <v>229</v>
      </c>
      <c r="AM27" s="76">
        <f>SUM(AM8:AM26)</f>
        <v>633.3599999999999</v>
      </c>
      <c r="AO27" s="78" t="s">
        <v>229</v>
      </c>
      <c r="AP27" s="76">
        <f>SUM(AP8:AP26)</f>
        <v>750.24</v>
      </c>
      <c r="AR27" s="78" t="s">
        <v>229</v>
      </c>
      <c r="AS27" s="76">
        <f>SUM(AS8:AS26)</f>
        <v>900.94999999999993</v>
      </c>
      <c r="AU27" s="78" t="s">
        <v>229</v>
      </c>
      <c r="AV27" s="76">
        <f>SUM(AV8:AV26)</f>
        <v>750.24</v>
      </c>
      <c r="AX27" s="78" t="s">
        <v>229</v>
      </c>
      <c r="AY27" s="148">
        <f>SUM(AY8:AY26)</f>
        <v>633.3599999999999</v>
      </c>
      <c r="BA27" s="78" t="s">
        <v>229</v>
      </c>
      <c r="BB27" s="148">
        <f>SUM(BB8:BB26)</f>
        <v>750.24</v>
      </c>
      <c r="BD27" s="78" t="s">
        <v>229</v>
      </c>
      <c r="BE27" s="76">
        <f>SUM(BE8:BE26)</f>
        <v>900.94999999999993</v>
      </c>
      <c r="BG27" s="78" t="s">
        <v>229</v>
      </c>
      <c r="BH27" s="148">
        <f>SUM(BH8:BH26)</f>
        <v>729.84999999999991</v>
      </c>
      <c r="BJ27" s="78" t="s">
        <v>229</v>
      </c>
      <c r="BK27" s="76">
        <f>SUM(BK8:BK26)</f>
        <v>524.75</v>
      </c>
      <c r="BM27" s="78" t="s">
        <v>229</v>
      </c>
      <c r="BN27" s="76">
        <f>SUM(BN8:BN26)</f>
        <v>583.05999999999995</v>
      </c>
      <c r="BP27" s="78" t="s">
        <v>229</v>
      </c>
      <c r="BQ27" s="76">
        <f>SUM(BQ8:BQ26)</f>
        <v>790.45</v>
      </c>
      <c r="BS27" s="78" t="s">
        <v>229</v>
      </c>
      <c r="BT27" s="76">
        <f>SUM(BT8:BT26)</f>
        <v>583.05999999999995</v>
      </c>
      <c r="BV27" s="78" t="s">
        <v>229</v>
      </c>
      <c r="BW27" s="148">
        <f>SUM(BW8:BW26)</f>
        <v>522.9</v>
      </c>
      <c r="BY27" s="78" t="s">
        <v>229</v>
      </c>
      <c r="BZ27" s="76">
        <f>SUM(BZ8:BZ26)</f>
        <v>583.05999999999995</v>
      </c>
      <c r="CB27" s="78" t="s">
        <v>229</v>
      </c>
      <c r="CC27" s="76">
        <f>SUM(CC8:CC26)</f>
        <v>790.45</v>
      </c>
      <c r="CE27" s="78" t="s">
        <v>229</v>
      </c>
      <c r="CF27" s="76">
        <f>SUM(CF8:CF26)</f>
        <v>583.05999999999995</v>
      </c>
      <c r="CH27" s="78" t="s">
        <v>229</v>
      </c>
      <c r="CI27" s="148">
        <f>SUM(CI8:CI26)</f>
        <v>522.9</v>
      </c>
      <c r="CK27" s="78" t="s">
        <v>229</v>
      </c>
      <c r="CL27" s="76">
        <f>SUM(CL8:CL26)</f>
        <v>561.09</v>
      </c>
      <c r="CN27" s="78" t="s">
        <v>229</v>
      </c>
      <c r="CO27" s="76">
        <f>SUM(CO8:CO23)</f>
        <v>681.56</v>
      </c>
      <c r="CQ27" s="78" t="s">
        <v>229</v>
      </c>
      <c r="CR27" s="76">
        <f>SUM(CR8:CR26)</f>
        <v>413.99</v>
      </c>
      <c r="CT27" s="78" t="s">
        <v>229</v>
      </c>
      <c r="CU27" s="76">
        <f>SUM(CU8:CU26)</f>
        <v>413.99</v>
      </c>
      <c r="CW27" s="78" t="s">
        <v>229</v>
      </c>
      <c r="CX27" s="76">
        <f>SUM(CX8:CX26)</f>
        <v>681.56</v>
      </c>
      <c r="CZ27" s="78" t="s">
        <v>229</v>
      </c>
      <c r="DA27" s="76">
        <f>SUM(DA8:DA26)</f>
        <v>413.99</v>
      </c>
      <c r="DC27" s="78" t="s">
        <v>229</v>
      </c>
      <c r="DD27" s="76">
        <f>SUM(DD8:DD26)</f>
        <v>413.99</v>
      </c>
      <c r="DF27" s="78" t="s">
        <v>229</v>
      </c>
      <c r="DG27" s="76">
        <f>SUM(DG8:DG26)</f>
        <v>514.86</v>
      </c>
      <c r="DH27" s="76"/>
      <c r="DI27" s="78" t="s">
        <v>229</v>
      </c>
      <c r="DJ27" s="76">
        <f>SUM(DJ8:DJ26)</f>
        <v>871.47</v>
      </c>
      <c r="DL27" s="54">
        <f t="shared" si="4"/>
        <v>20</v>
      </c>
      <c r="DM27" s="86" t="s">
        <v>203</v>
      </c>
      <c r="DN27" s="91">
        <f>BZ72</f>
        <v>2745.71</v>
      </c>
      <c r="DO27" s="91" t="e">
        <f>#REF!</f>
        <v>#REF!</v>
      </c>
      <c r="DP27" s="91">
        <f>BZ52</f>
        <v>18.38</v>
      </c>
      <c r="DQ27" s="91">
        <v>0</v>
      </c>
      <c r="DR27" s="91">
        <f>BZ41</f>
        <v>134.96</v>
      </c>
      <c r="DS27" s="91" t="e">
        <f t="shared" si="0"/>
        <v>#REF!</v>
      </c>
      <c r="DT27" s="19" t="e">
        <f>BZ71</f>
        <v>#REF!</v>
      </c>
      <c r="DU27" s="20">
        <f>BZ61</f>
        <v>243.52</v>
      </c>
      <c r="DV27" s="92">
        <f>BZ51</f>
        <v>24.240000000000002</v>
      </c>
      <c r="DW27" s="21">
        <f>BZ40</f>
        <v>151.28</v>
      </c>
      <c r="DX27" s="93" t="e">
        <f t="shared" si="1"/>
        <v>#REF!</v>
      </c>
      <c r="DY27" s="94">
        <f>BZ27</f>
        <v>583.05999999999995</v>
      </c>
      <c r="DZ27" s="93" t="e">
        <f t="shared" si="2"/>
        <v>#REF!</v>
      </c>
      <c r="EA27" s="93" t="e">
        <f t="shared" si="3"/>
        <v>#REF!</v>
      </c>
      <c r="EB27" s="93"/>
      <c r="EC27" s="86"/>
      <c r="EE27" s="54">
        <f t="shared" si="5"/>
        <v>20</v>
      </c>
      <c r="EF27" s="54" t="s">
        <v>203</v>
      </c>
      <c r="EG27" s="94">
        <f t="shared" si="6"/>
        <v>583.05999999999995</v>
      </c>
    </row>
    <row r="28" spans="1:147" ht="45" hidden="1" customHeight="1" x14ac:dyDescent="0.25">
      <c r="B28" s="9" t="s">
        <v>4</v>
      </c>
      <c r="C28" s="10">
        <v>-1.68</v>
      </c>
      <c r="D28" s="47"/>
      <c r="E28" s="9" t="s">
        <v>91</v>
      </c>
      <c r="F28" s="10">
        <v>16.64</v>
      </c>
      <c r="G28" s="101"/>
      <c r="H28" s="9" t="s">
        <v>4</v>
      </c>
      <c r="I28" s="10">
        <v>-1.68</v>
      </c>
      <c r="K28" s="34"/>
      <c r="L28" s="9" t="s">
        <v>42</v>
      </c>
      <c r="M28" s="10">
        <v>21.15</v>
      </c>
      <c r="N28" s="47" t="s">
        <v>48</v>
      </c>
      <c r="O28" s="177" t="s">
        <v>437</v>
      </c>
      <c r="P28" s="143">
        <v>113.5</v>
      </c>
      <c r="Y28" s="55"/>
      <c r="Z28" s="58"/>
      <c r="AC28" s="146" t="s">
        <v>36</v>
      </c>
      <c r="AD28" s="147">
        <f>15.8-3.68</f>
        <v>12.120000000000001</v>
      </c>
      <c r="DI28"/>
      <c r="DJ28" s="55">
        <f>902.74-57.95</f>
        <v>844.79</v>
      </c>
      <c r="DL28" s="54">
        <f t="shared" si="4"/>
        <v>21</v>
      </c>
      <c r="DM28" s="86" t="s">
        <v>204</v>
      </c>
      <c r="DN28" s="91">
        <f>CC72</f>
        <v>2494.42</v>
      </c>
      <c r="DO28" s="91" t="e">
        <f>#REF!</f>
        <v>#REF!</v>
      </c>
      <c r="DP28" s="91">
        <f>CC52</f>
        <v>18.38</v>
      </c>
      <c r="DQ28" s="91">
        <v>0</v>
      </c>
      <c r="DR28" s="91">
        <f>CC41</f>
        <v>134.96</v>
      </c>
      <c r="DS28" s="91" t="e">
        <f t="shared" si="0"/>
        <v>#REF!</v>
      </c>
      <c r="DT28" s="19" t="e">
        <f>CC71</f>
        <v>#REF!</v>
      </c>
      <c r="DU28" s="20">
        <f>CC61</f>
        <v>243.52</v>
      </c>
      <c r="DV28" s="92">
        <f>CC51</f>
        <v>24.240000000000002</v>
      </c>
      <c r="DW28" s="21">
        <f>CC40</f>
        <v>151.28</v>
      </c>
      <c r="DX28" s="93" t="e">
        <f t="shared" si="1"/>
        <v>#REF!</v>
      </c>
      <c r="DY28" s="94">
        <f>CC27</f>
        <v>790.45</v>
      </c>
      <c r="DZ28" s="93" t="e">
        <f t="shared" si="2"/>
        <v>#REF!</v>
      </c>
      <c r="EA28" s="93" t="e">
        <f t="shared" si="3"/>
        <v>#REF!</v>
      </c>
      <c r="EB28" s="93"/>
      <c r="EC28" s="90" t="s">
        <v>238</v>
      </c>
      <c r="EE28" s="54">
        <f t="shared" si="5"/>
        <v>21</v>
      </c>
      <c r="EF28" s="54" t="s">
        <v>204</v>
      </c>
      <c r="EG28" s="94">
        <f t="shared" si="6"/>
        <v>790.45</v>
      </c>
    </row>
    <row r="29" spans="1:147" ht="24.95" hidden="1" customHeight="1" x14ac:dyDescent="0.25">
      <c r="B29" s="9" t="s">
        <v>127</v>
      </c>
      <c r="C29" s="10">
        <v>40.29</v>
      </c>
      <c r="E29" s="9" t="s">
        <v>4</v>
      </c>
      <c r="F29" s="10">
        <v>-1.68</v>
      </c>
      <c r="G29" s="101"/>
      <c r="H29" s="9" t="s">
        <v>127</v>
      </c>
      <c r="I29" s="10">
        <v>40.29</v>
      </c>
      <c r="K29" s="34"/>
      <c r="L29" s="9" t="s">
        <v>5</v>
      </c>
      <c r="M29" s="10">
        <v>26.22</v>
      </c>
      <c r="N29" s="47"/>
      <c r="O29" s="7" t="s">
        <v>9</v>
      </c>
      <c r="P29" s="143">
        <v>26.5</v>
      </c>
      <c r="Y29" s="55"/>
      <c r="Z29" s="58"/>
      <c r="AC29" s="146" t="s">
        <v>37</v>
      </c>
      <c r="AD29" s="147">
        <f>15.8-3.68</f>
        <v>12.120000000000001</v>
      </c>
      <c r="AF29" s="61"/>
      <c r="AG29" s="61"/>
      <c r="AI29" s="61" t="s">
        <v>171</v>
      </c>
      <c r="AJ29" s="61"/>
      <c r="AL29" s="61" t="s">
        <v>171</v>
      </c>
      <c r="AM29" s="61"/>
      <c r="AO29" s="61" t="s">
        <v>171</v>
      </c>
      <c r="AP29" s="61"/>
      <c r="AR29" s="61" t="s">
        <v>171</v>
      </c>
      <c r="AS29" s="61"/>
      <c r="AU29" s="61" t="s">
        <v>171</v>
      </c>
      <c r="AV29" s="61"/>
      <c r="AX29" s="61" t="s">
        <v>171</v>
      </c>
      <c r="AY29" s="61"/>
      <c r="BA29" s="61" t="s">
        <v>171</v>
      </c>
      <c r="BB29" s="61"/>
      <c r="BD29" s="61" t="s">
        <v>171</v>
      </c>
      <c r="BE29" s="61"/>
      <c r="BG29" s="61" t="s">
        <v>171</v>
      </c>
      <c r="BH29" s="61"/>
      <c r="BJ29" s="61" t="s">
        <v>171</v>
      </c>
      <c r="BK29" s="61"/>
      <c r="BM29" s="61" t="s">
        <v>171</v>
      </c>
      <c r="BN29" s="61"/>
      <c r="BP29" s="61" t="s">
        <v>171</v>
      </c>
      <c r="BQ29" s="61"/>
      <c r="BS29" s="61" t="s">
        <v>171</v>
      </c>
      <c r="BT29" s="61"/>
      <c r="BV29" s="61" t="s">
        <v>171</v>
      </c>
      <c r="BW29" s="61"/>
      <c r="BY29" s="61" t="s">
        <v>171</v>
      </c>
      <c r="BZ29" s="61"/>
      <c r="CB29" s="61" t="s">
        <v>171</v>
      </c>
      <c r="CC29" s="61"/>
      <c r="CE29" s="61" t="s">
        <v>171</v>
      </c>
      <c r="CF29" s="61"/>
      <c r="CH29" s="61" t="s">
        <v>171</v>
      </c>
      <c r="CI29" s="61"/>
      <c r="CK29" s="61" t="s">
        <v>171</v>
      </c>
      <c r="CL29" s="61"/>
      <c r="CN29" s="61" t="s">
        <v>171</v>
      </c>
      <c r="CO29" s="61"/>
      <c r="CQ29" s="61" t="s">
        <v>171</v>
      </c>
      <c r="CR29" s="61"/>
      <c r="CT29" s="61" t="s">
        <v>171</v>
      </c>
      <c r="CU29" s="61"/>
      <c r="CW29" s="61" t="s">
        <v>171</v>
      </c>
      <c r="CX29" s="61"/>
      <c r="CZ29" s="61" t="s">
        <v>171</v>
      </c>
      <c r="DA29" s="61"/>
      <c r="DC29" s="61" t="s">
        <v>171</v>
      </c>
      <c r="DD29" s="61"/>
      <c r="DF29" s="61" t="s">
        <v>171</v>
      </c>
      <c r="DG29" s="61"/>
      <c r="DH29" s="66"/>
      <c r="DI29" s="66"/>
      <c r="DJ29" s="66"/>
      <c r="DL29" s="54">
        <f t="shared" si="4"/>
        <v>22</v>
      </c>
      <c r="DM29" s="86" t="s">
        <v>205</v>
      </c>
      <c r="DN29" s="91">
        <f>CF72</f>
        <v>2745.71</v>
      </c>
      <c r="DO29" s="91" t="e">
        <f>#REF!</f>
        <v>#REF!</v>
      </c>
      <c r="DP29" s="91">
        <f>CF52</f>
        <v>18.38</v>
      </c>
      <c r="DQ29" s="91">
        <v>0</v>
      </c>
      <c r="DR29" s="91">
        <f>CF41</f>
        <v>134.96</v>
      </c>
      <c r="DS29" s="91" t="e">
        <f t="shared" si="0"/>
        <v>#REF!</v>
      </c>
      <c r="DT29" s="19" t="e">
        <f>CF71</f>
        <v>#REF!</v>
      </c>
      <c r="DU29" s="20">
        <f>CF61</f>
        <v>243.52</v>
      </c>
      <c r="DV29" s="92">
        <f>CF51</f>
        <v>24.240000000000002</v>
      </c>
      <c r="DW29" s="21">
        <f>CF40</f>
        <v>151.28</v>
      </c>
      <c r="DX29" s="93" t="e">
        <f t="shared" si="1"/>
        <v>#REF!</v>
      </c>
      <c r="DY29" s="94">
        <f>CF27</f>
        <v>583.05999999999995</v>
      </c>
      <c r="DZ29" s="93" t="e">
        <f t="shared" si="2"/>
        <v>#REF!</v>
      </c>
      <c r="EA29" s="93" t="e">
        <f t="shared" si="3"/>
        <v>#REF!</v>
      </c>
      <c r="EB29" s="93"/>
      <c r="EC29" s="86"/>
      <c r="EE29" s="54">
        <f t="shared" si="5"/>
        <v>22</v>
      </c>
      <c r="EF29" s="54" t="s">
        <v>205</v>
      </c>
      <c r="EG29" s="94">
        <f t="shared" si="6"/>
        <v>583.05999999999995</v>
      </c>
    </row>
    <row r="30" spans="1:147" ht="24.95" hidden="1" customHeight="1" x14ac:dyDescent="0.25">
      <c r="B30" s="9" t="s">
        <v>4</v>
      </c>
      <c r="C30" s="10">
        <v>-3.5</v>
      </c>
      <c r="D30" s="47"/>
      <c r="E30" s="9" t="s">
        <v>127</v>
      </c>
      <c r="F30" s="10">
        <v>40.29</v>
      </c>
      <c r="H30" s="9" t="s">
        <v>4</v>
      </c>
      <c r="I30" s="10">
        <v>-4.41</v>
      </c>
      <c r="K30" s="34"/>
      <c r="L30" s="9" t="s">
        <v>4</v>
      </c>
      <c r="M30" s="10">
        <v>-0.52</v>
      </c>
      <c r="N30" s="47"/>
      <c r="O30" s="7" t="s">
        <v>4</v>
      </c>
      <c r="P30" s="8">
        <v>-1.57</v>
      </c>
      <c r="Y30" s="55"/>
      <c r="Z30" s="58"/>
      <c r="AC30" s="146" t="s">
        <v>74</v>
      </c>
      <c r="AD30" s="147">
        <v>7.07</v>
      </c>
      <c r="AF30" s="66"/>
      <c r="AG30" s="66"/>
      <c r="AI30" s="66"/>
      <c r="AJ30" s="66"/>
      <c r="AL30" s="66"/>
      <c r="AM30" s="66"/>
      <c r="AO30" s="66"/>
      <c r="AP30" s="66"/>
      <c r="AR30" s="66"/>
      <c r="AS30" s="66"/>
      <c r="AU30" s="66"/>
      <c r="AV30" s="66"/>
      <c r="AX30" s="66"/>
      <c r="AY30" s="66"/>
      <c r="BA30" s="66"/>
      <c r="BB30" s="66"/>
      <c r="BD30" s="66"/>
      <c r="BE30" s="66"/>
      <c r="BG30" s="66"/>
      <c r="BH30" s="66"/>
      <c r="BJ30" s="66"/>
      <c r="BK30" s="66"/>
      <c r="BM30" s="66"/>
      <c r="BN30" s="66"/>
      <c r="BP30" s="66"/>
      <c r="BQ30" s="66"/>
      <c r="BS30" s="66"/>
      <c r="BT30" s="66"/>
      <c r="BV30" s="66"/>
      <c r="BW30" s="66"/>
      <c r="BY30" s="66"/>
      <c r="BZ30" s="66"/>
      <c r="CB30" s="66"/>
      <c r="CC30" s="66"/>
      <c r="CE30" s="66"/>
      <c r="CF30" s="66"/>
      <c r="CH30" s="66"/>
      <c r="CI30" s="66"/>
      <c r="CK30" s="66"/>
      <c r="CL30" s="66"/>
      <c r="CN30" s="66"/>
      <c r="CO30" s="66"/>
      <c r="CQ30" s="66"/>
      <c r="CR30" s="66"/>
      <c r="CT30" s="66"/>
      <c r="CU30" s="66"/>
      <c r="CW30" s="66"/>
      <c r="CX30" s="66"/>
      <c r="CZ30" s="66"/>
      <c r="DA30" s="66"/>
      <c r="DC30" s="66"/>
      <c r="DD30" s="66"/>
      <c r="DF30" s="66"/>
      <c r="DG30" s="66"/>
      <c r="DH30" s="66"/>
      <c r="DI30" s="66"/>
      <c r="DJ30" s="66"/>
      <c r="DL30" s="54">
        <f t="shared" si="4"/>
        <v>23</v>
      </c>
      <c r="DM30" s="86" t="s">
        <v>206</v>
      </c>
      <c r="DN30" s="91">
        <f>CI72</f>
        <v>2796.98</v>
      </c>
      <c r="DO30" s="91" t="e">
        <f>#REF!</f>
        <v>#REF!</v>
      </c>
      <c r="DP30" s="91">
        <f>CI52</f>
        <v>18.38</v>
      </c>
      <c r="DQ30" s="91">
        <v>0</v>
      </c>
      <c r="DR30" s="91">
        <f>CI41</f>
        <v>134.96</v>
      </c>
      <c r="DS30" s="91" t="e">
        <f t="shared" si="0"/>
        <v>#REF!</v>
      </c>
      <c r="DT30" s="19" t="e">
        <f>CI71</f>
        <v>#REF!</v>
      </c>
      <c r="DU30" s="20">
        <f>CI61</f>
        <v>243.52</v>
      </c>
      <c r="DV30" s="92">
        <f>CI51</f>
        <v>24.240000000000002</v>
      </c>
      <c r="DW30" s="21">
        <f>CI40</f>
        <v>151.28</v>
      </c>
      <c r="DX30" s="93" t="e">
        <f t="shared" si="1"/>
        <v>#REF!</v>
      </c>
      <c r="DY30" s="94">
        <f>CI27</f>
        <v>522.9</v>
      </c>
      <c r="DZ30" s="93" t="e">
        <f t="shared" si="2"/>
        <v>#REF!</v>
      </c>
      <c r="EA30" s="93" t="e">
        <f t="shared" si="3"/>
        <v>#REF!</v>
      </c>
      <c r="EB30" s="93"/>
      <c r="EC30" s="86"/>
      <c r="EE30" s="54">
        <f t="shared" si="5"/>
        <v>23</v>
      </c>
      <c r="EF30" s="54" t="s">
        <v>206</v>
      </c>
      <c r="EG30" s="94">
        <f t="shared" si="6"/>
        <v>522.9</v>
      </c>
    </row>
    <row r="31" spans="1:147" ht="24.95" hidden="1" customHeight="1" x14ac:dyDescent="0.25">
      <c r="B31" s="7" t="s">
        <v>128</v>
      </c>
      <c r="C31" s="8">
        <v>32.82</v>
      </c>
      <c r="D31" s="47"/>
      <c r="E31" s="9" t="s">
        <v>4</v>
      </c>
      <c r="F31" s="10">
        <v>-4.41</v>
      </c>
      <c r="H31" s="7" t="s">
        <v>128</v>
      </c>
      <c r="I31" s="8">
        <v>32.82</v>
      </c>
      <c r="K31" s="10" t="s">
        <v>49</v>
      </c>
      <c r="L31" s="52" t="s">
        <v>44</v>
      </c>
      <c r="M31" s="10">
        <v>19.350000000000001</v>
      </c>
      <c r="N31" s="47"/>
      <c r="O31" s="5" t="s">
        <v>47</v>
      </c>
      <c r="P31" s="6">
        <v>246.15</v>
      </c>
      <c r="Y31" s="55"/>
      <c r="Z31" s="58"/>
      <c r="AC31" s="146" t="s">
        <v>72</v>
      </c>
      <c r="AD31" s="147">
        <v>16.010000000000002</v>
      </c>
      <c r="AI31" s="67" t="s">
        <v>24</v>
      </c>
      <c r="AJ31" s="68">
        <v>37.82</v>
      </c>
      <c r="AL31" s="67" t="s">
        <v>24</v>
      </c>
      <c r="AM31" s="68">
        <v>37.82</v>
      </c>
      <c r="AO31" s="67" t="s">
        <v>24</v>
      </c>
      <c r="AP31" s="68">
        <v>37.82</v>
      </c>
      <c r="AR31" s="67" t="s">
        <v>24</v>
      </c>
      <c r="AS31" s="68">
        <v>37.82</v>
      </c>
      <c r="AU31" s="67" t="s">
        <v>24</v>
      </c>
      <c r="AV31" s="68">
        <v>37.82</v>
      </c>
      <c r="AX31" s="67" t="s">
        <v>24</v>
      </c>
      <c r="AY31" s="68">
        <v>37.82</v>
      </c>
      <c r="BA31" s="67" t="s">
        <v>24</v>
      </c>
      <c r="BB31" s="68">
        <v>37.82</v>
      </c>
      <c r="BD31" s="67" t="s">
        <v>24</v>
      </c>
      <c r="BE31" s="68">
        <v>37.82</v>
      </c>
      <c r="BG31" s="67" t="s">
        <v>24</v>
      </c>
      <c r="BH31" s="68">
        <v>37.82</v>
      </c>
      <c r="BJ31" s="67" t="s">
        <v>24</v>
      </c>
      <c r="BK31" s="68">
        <v>37.82</v>
      </c>
      <c r="BM31" s="67" t="s">
        <v>24</v>
      </c>
      <c r="BN31" s="68">
        <v>37.82</v>
      </c>
      <c r="BP31" s="67" t="s">
        <v>24</v>
      </c>
      <c r="BQ31" s="68">
        <v>37.82</v>
      </c>
      <c r="BS31" s="67" t="s">
        <v>24</v>
      </c>
      <c r="BT31" s="68">
        <v>37.82</v>
      </c>
      <c r="BV31" s="67" t="s">
        <v>24</v>
      </c>
      <c r="BW31" s="68">
        <v>37.82</v>
      </c>
      <c r="BY31" s="67" t="s">
        <v>24</v>
      </c>
      <c r="BZ31" s="68">
        <v>37.82</v>
      </c>
      <c r="CB31" s="67" t="s">
        <v>24</v>
      </c>
      <c r="CC31" s="68">
        <v>37.82</v>
      </c>
      <c r="CE31" s="67" t="s">
        <v>24</v>
      </c>
      <c r="CF31" s="68">
        <v>37.82</v>
      </c>
      <c r="CH31" s="67" t="s">
        <v>24</v>
      </c>
      <c r="CI31" s="68">
        <v>37.82</v>
      </c>
      <c r="CK31" s="67" t="s">
        <v>24</v>
      </c>
      <c r="CL31" s="68">
        <v>37.82</v>
      </c>
      <c r="CN31" s="67" t="s">
        <v>24</v>
      </c>
      <c r="CO31" s="68">
        <v>37.82</v>
      </c>
      <c r="CQ31" s="67" t="s">
        <v>24</v>
      </c>
      <c r="CR31" s="68">
        <v>37.82</v>
      </c>
      <c r="CT31" s="67" t="s">
        <v>24</v>
      </c>
      <c r="CU31" s="68">
        <v>37.82</v>
      </c>
      <c r="CW31" s="67" t="s">
        <v>24</v>
      </c>
      <c r="CX31" s="68">
        <v>37.82</v>
      </c>
      <c r="CZ31" s="67" t="s">
        <v>24</v>
      </c>
      <c r="DA31" s="68">
        <v>37.82</v>
      </c>
      <c r="DC31" s="67" t="s">
        <v>24</v>
      </c>
      <c r="DD31" s="68">
        <v>37.82</v>
      </c>
      <c r="DF31" s="67" t="s">
        <v>24</v>
      </c>
      <c r="DG31" s="68">
        <v>37.57</v>
      </c>
      <c r="DH31" s="121"/>
      <c r="DI31" s="122"/>
      <c r="DJ31" s="121"/>
      <c r="DL31" s="54">
        <f t="shared" si="4"/>
        <v>24</v>
      </c>
      <c r="DM31" s="86" t="s">
        <v>211</v>
      </c>
      <c r="DN31" s="91">
        <f>CL72</f>
        <v>2786.39</v>
      </c>
      <c r="DO31" s="91" t="e">
        <f>#REF!</f>
        <v>#REF!</v>
      </c>
      <c r="DP31" s="91">
        <f>CL52</f>
        <v>18.38</v>
      </c>
      <c r="DQ31" s="91">
        <v>0</v>
      </c>
      <c r="DR31" s="91">
        <f>CL41</f>
        <v>134.96</v>
      </c>
      <c r="DS31" s="91" t="e">
        <f t="shared" si="0"/>
        <v>#REF!</v>
      </c>
      <c r="DT31" s="19" t="e">
        <f>CL71</f>
        <v>#REF!</v>
      </c>
      <c r="DU31" s="20">
        <f>CL61</f>
        <v>243.52</v>
      </c>
      <c r="DV31" s="92">
        <f>CL51</f>
        <v>24.240000000000002</v>
      </c>
      <c r="DW31" s="21">
        <f>CL40</f>
        <v>151.28</v>
      </c>
      <c r="DX31" s="93" t="e">
        <f t="shared" si="1"/>
        <v>#REF!</v>
      </c>
      <c r="DY31" s="94">
        <f>CL27</f>
        <v>561.09</v>
      </c>
      <c r="DZ31" s="93" t="e">
        <f t="shared" si="2"/>
        <v>#REF!</v>
      </c>
      <c r="EA31" s="93" t="e">
        <f t="shared" si="3"/>
        <v>#REF!</v>
      </c>
      <c r="EB31" s="93"/>
      <c r="EC31" s="86"/>
      <c r="EE31" s="54">
        <f t="shared" si="5"/>
        <v>24</v>
      </c>
      <c r="EF31" s="54" t="s">
        <v>211</v>
      </c>
      <c r="EG31" s="94">
        <f t="shared" si="6"/>
        <v>561.09</v>
      </c>
    </row>
    <row r="32" spans="1:147" ht="45" hidden="1" customHeight="1" x14ac:dyDescent="0.25">
      <c r="A32" s="77" t="s">
        <v>48</v>
      </c>
      <c r="B32" s="7" t="s">
        <v>9</v>
      </c>
      <c r="C32" s="8">
        <v>28.25</v>
      </c>
      <c r="D32" s="95"/>
      <c r="E32" s="7" t="s">
        <v>128</v>
      </c>
      <c r="F32" s="8">
        <v>32.82</v>
      </c>
      <c r="H32" s="7" t="s">
        <v>9</v>
      </c>
      <c r="I32" s="8">
        <v>28.25</v>
      </c>
      <c r="K32" s="34"/>
      <c r="L32" s="52" t="s">
        <v>139</v>
      </c>
      <c r="M32" s="10">
        <v>126.06</v>
      </c>
      <c r="N32" s="47"/>
      <c r="O32" s="5" t="s">
        <v>62</v>
      </c>
      <c r="P32" s="6">
        <v>86.75</v>
      </c>
      <c r="X32" s="36" t="s">
        <v>173</v>
      </c>
      <c r="Y32" s="56"/>
      <c r="Z32" s="37"/>
      <c r="AC32" s="146" t="s">
        <v>73</v>
      </c>
      <c r="AD32" s="147">
        <v>18.28</v>
      </c>
      <c r="AI32" t="s">
        <v>68</v>
      </c>
      <c r="AJ32" s="55">
        <v>33.74</v>
      </c>
      <c r="AL32" t="s">
        <v>68</v>
      </c>
      <c r="AM32" s="55">
        <v>33.74</v>
      </c>
      <c r="AO32" t="s">
        <v>68</v>
      </c>
      <c r="AP32" s="55">
        <v>33.74</v>
      </c>
      <c r="AR32" t="s">
        <v>68</v>
      </c>
      <c r="AS32" s="55">
        <v>33.74</v>
      </c>
      <c r="AU32" t="s">
        <v>68</v>
      </c>
      <c r="AV32" s="55">
        <v>33.74</v>
      </c>
      <c r="AX32" t="s">
        <v>68</v>
      </c>
      <c r="AY32" s="55">
        <v>33.74</v>
      </c>
      <c r="BA32" t="s">
        <v>68</v>
      </c>
      <c r="BB32" s="55">
        <v>33.74</v>
      </c>
      <c r="BD32" t="s">
        <v>68</v>
      </c>
      <c r="BE32" s="55">
        <v>33.74</v>
      </c>
      <c r="BG32" t="s">
        <v>68</v>
      </c>
      <c r="BH32" s="55">
        <v>33.74</v>
      </c>
      <c r="BJ32" t="s">
        <v>68</v>
      </c>
      <c r="BK32" s="55">
        <v>33.74</v>
      </c>
      <c r="BM32" t="s">
        <v>68</v>
      </c>
      <c r="BN32" s="55">
        <v>33.74</v>
      </c>
      <c r="BP32" t="s">
        <v>68</v>
      </c>
      <c r="BQ32" s="55">
        <v>33.74</v>
      </c>
      <c r="BS32" t="s">
        <v>68</v>
      </c>
      <c r="BT32" s="55">
        <v>33.74</v>
      </c>
      <c r="BV32" t="s">
        <v>68</v>
      </c>
      <c r="BW32" s="55">
        <v>33.74</v>
      </c>
      <c r="BY32" t="s">
        <v>68</v>
      </c>
      <c r="BZ32" s="55">
        <v>33.74</v>
      </c>
      <c r="CB32" t="s">
        <v>68</v>
      </c>
      <c r="CC32" s="55">
        <v>33.74</v>
      </c>
      <c r="CE32" t="s">
        <v>68</v>
      </c>
      <c r="CF32" s="55">
        <v>33.74</v>
      </c>
      <c r="CH32" t="s">
        <v>68</v>
      </c>
      <c r="CI32" s="55">
        <v>33.74</v>
      </c>
      <c r="CK32" t="s">
        <v>68</v>
      </c>
      <c r="CL32" s="55">
        <v>33.74</v>
      </c>
      <c r="CN32" t="s">
        <v>68</v>
      </c>
      <c r="CO32" s="55">
        <v>33.74</v>
      </c>
      <c r="CQ32" t="s">
        <v>68</v>
      </c>
      <c r="CR32" s="55">
        <v>33.74</v>
      </c>
      <c r="CT32" t="s">
        <v>68</v>
      </c>
      <c r="CU32" s="55">
        <v>33.74</v>
      </c>
      <c r="CW32" t="s">
        <v>68</v>
      </c>
      <c r="CX32" s="55">
        <v>33.74</v>
      </c>
      <c r="CZ32" t="s">
        <v>68</v>
      </c>
      <c r="DA32" s="55">
        <v>33.74</v>
      </c>
      <c r="DC32" t="s">
        <v>68</v>
      </c>
      <c r="DD32" s="55">
        <v>33.74</v>
      </c>
      <c r="DF32" t="s">
        <v>68</v>
      </c>
      <c r="DG32" s="55">
        <v>32.61</v>
      </c>
      <c r="DI32"/>
      <c r="DL32" s="54">
        <f t="shared" si="4"/>
        <v>25</v>
      </c>
      <c r="DM32" s="86" t="s">
        <v>212</v>
      </c>
      <c r="DN32" s="91">
        <f>CO72</f>
        <v>2512.1799999999998</v>
      </c>
      <c r="DO32" s="91" t="e">
        <f>#REF!</f>
        <v>#REF!</v>
      </c>
      <c r="DP32" s="91">
        <f>CO52</f>
        <v>18.38</v>
      </c>
      <c r="DQ32" s="91">
        <v>0</v>
      </c>
      <c r="DR32" s="91">
        <f>CO41</f>
        <v>134.96</v>
      </c>
      <c r="DS32" s="91" t="e">
        <f t="shared" si="0"/>
        <v>#REF!</v>
      </c>
      <c r="DT32" s="19" t="e">
        <f>CO71</f>
        <v>#REF!</v>
      </c>
      <c r="DU32" s="20">
        <f>CO61</f>
        <v>243.52</v>
      </c>
      <c r="DV32" s="92">
        <f>CO51</f>
        <v>24.240000000000002</v>
      </c>
      <c r="DW32" s="21">
        <f>CO40</f>
        <v>151.28</v>
      </c>
      <c r="DX32" s="93" t="e">
        <f t="shared" si="1"/>
        <v>#REF!</v>
      </c>
      <c r="DY32" s="94">
        <f>CO27</f>
        <v>681.56</v>
      </c>
      <c r="DZ32" s="93" t="e">
        <f t="shared" si="2"/>
        <v>#REF!</v>
      </c>
      <c r="EA32" s="93" t="e">
        <f t="shared" si="3"/>
        <v>#REF!</v>
      </c>
      <c r="EB32" s="93"/>
      <c r="EC32" s="90" t="s">
        <v>238</v>
      </c>
      <c r="EE32" s="54">
        <f t="shared" si="5"/>
        <v>25</v>
      </c>
      <c r="EF32" s="54" t="s">
        <v>212</v>
      </c>
      <c r="EG32" s="94">
        <f t="shared" si="6"/>
        <v>681.56</v>
      </c>
    </row>
    <row r="33" spans="1:147" ht="24.95" hidden="1" customHeight="1" x14ac:dyDescent="0.25">
      <c r="B33" s="7" t="s">
        <v>4</v>
      </c>
      <c r="C33" s="8">
        <v>-4.1900000000000004</v>
      </c>
      <c r="D33" s="297" t="s">
        <v>48</v>
      </c>
      <c r="E33" s="7" t="s">
        <v>9</v>
      </c>
      <c r="F33" s="8">
        <v>28.25</v>
      </c>
      <c r="G33" s="297" t="s">
        <v>48</v>
      </c>
      <c r="H33" s="7" t="s">
        <v>4</v>
      </c>
      <c r="I33" s="8">
        <v>-4.1900000000000004</v>
      </c>
      <c r="K33" s="34"/>
      <c r="L33" s="52" t="s">
        <v>140</v>
      </c>
      <c r="M33" s="10">
        <v>25.66</v>
      </c>
      <c r="N33" s="47"/>
      <c r="O33" s="5" t="s">
        <v>4</v>
      </c>
      <c r="P33" s="6">
        <v>-3.42</v>
      </c>
      <c r="X33" s="35"/>
      <c r="Y33" s="198" t="s">
        <v>155</v>
      </c>
      <c r="Z33" s="35"/>
      <c r="AC33" s="146" t="s">
        <v>64</v>
      </c>
      <c r="AD33" s="147">
        <v>9.51</v>
      </c>
      <c r="AI33" s="67" t="s">
        <v>38</v>
      </c>
      <c r="AJ33" s="68">
        <v>37.82</v>
      </c>
      <c r="AL33" s="67" t="s">
        <v>38</v>
      </c>
      <c r="AM33" s="68">
        <v>37.82</v>
      </c>
      <c r="AO33" s="67" t="s">
        <v>38</v>
      </c>
      <c r="AP33" s="68">
        <v>37.82</v>
      </c>
      <c r="AR33" s="67" t="s">
        <v>38</v>
      </c>
      <c r="AS33" s="68">
        <v>37.82</v>
      </c>
      <c r="AU33" s="67" t="s">
        <v>38</v>
      </c>
      <c r="AV33" s="68">
        <v>37.82</v>
      </c>
      <c r="AX33" s="67" t="s">
        <v>38</v>
      </c>
      <c r="AY33" s="68">
        <v>37.82</v>
      </c>
      <c r="BA33" s="67" t="s">
        <v>38</v>
      </c>
      <c r="BB33" s="68">
        <v>37.82</v>
      </c>
      <c r="BD33" s="67" t="s">
        <v>38</v>
      </c>
      <c r="BE33" s="68">
        <v>37.82</v>
      </c>
      <c r="BG33" s="67" t="s">
        <v>38</v>
      </c>
      <c r="BH33" s="68">
        <v>37.82</v>
      </c>
      <c r="BJ33" s="67" t="s">
        <v>38</v>
      </c>
      <c r="BK33" s="68">
        <v>37.82</v>
      </c>
      <c r="BM33" s="67" t="s">
        <v>38</v>
      </c>
      <c r="BN33" s="68">
        <v>37.82</v>
      </c>
      <c r="BP33" s="67" t="s">
        <v>38</v>
      </c>
      <c r="BQ33" s="68">
        <v>37.82</v>
      </c>
      <c r="BS33" s="67" t="s">
        <v>38</v>
      </c>
      <c r="BT33" s="68">
        <v>37.82</v>
      </c>
      <c r="BV33" s="67" t="s">
        <v>38</v>
      </c>
      <c r="BW33" s="68">
        <v>37.82</v>
      </c>
      <c r="BY33" s="67" t="s">
        <v>38</v>
      </c>
      <c r="BZ33" s="68">
        <v>37.82</v>
      </c>
      <c r="CB33" s="67" t="s">
        <v>38</v>
      </c>
      <c r="CC33" s="68">
        <v>37.82</v>
      </c>
      <c r="CE33" s="67" t="s">
        <v>38</v>
      </c>
      <c r="CF33" s="68">
        <v>37.82</v>
      </c>
      <c r="CH33" s="67" t="s">
        <v>38</v>
      </c>
      <c r="CI33" s="68">
        <v>37.82</v>
      </c>
      <c r="CK33" s="67" t="s">
        <v>38</v>
      </c>
      <c r="CL33" s="68">
        <v>37.82</v>
      </c>
      <c r="CN33" s="67" t="s">
        <v>38</v>
      </c>
      <c r="CO33" s="68">
        <v>37.82</v>
      </c>
      <c r="CQ33" s="67" t="s">
        <v>38</v>
      </c>
      <c r="CR33" s="68">
        <v>37.82</v>
      </c>
      <c r="CT33" s="67" t="s">
        <v>38</v>
      </c>
      <c r="CU33" s="68">
        <v>37.82</v>
      </c>
      <c r="CW33" s="67" t="s">
        <v>38</v>
      </c>
      <c r="CX33" s="68">
        <v>37.82</v>
      </c>
      <c r="CZ33" s="67" t="s">
        <v>38</v>
      </c>
      <c r="DA33" s="68">
        <v>37.82</v>
      </c>
      <c r="DC33" s="67" t="s">
        <v>38</v>
      </c>
      <c r="DD33" s="68">
        <v>37.82</v>
      </c>
      <c r="DF33" s="67" t="s">
        <v>38</v>
      </c>
      <c r="DG33" s="68">
        <v>39.130000000000003</v>
      </c>
      <c r="DH33" s="121"/>
      <c r="DI33" s="122"/>
      <c r="DJ33" s="121"/>
      <c r="DL33" s="54">
        <f t="shared" si="4"/>
        <v>26</v>
      </c>
      <c r="DM33" s="86" t="s">
        <v>213</v>
      </c>
      <c r="DN33" s="91">
        <f>CR72</f>
        <v>2899.68</v>
      </c>
      <c r="DO33" s="91" t="e">
        <f>#REF!</f>
        <v>#REF!</v>
      </c>
      <c r="DP33" s="91">
        <f>CR52</f>
        <v>18.38</v>
      </c>
      <c r="DQ33" s="91">
        <v>0</v>
      </c>
      <c r="DR33" s="91">
        <f>CR41</f>
        <v>134.96</v>
      </c>
      <c r="DS33" s="91" t="e">
        <f t="shared" si="0"/>
        <v>#REF!</v>
      </c>
      <c r="DT33" s="19" t="e">
        <f>CR71</f>
        <v>#REF!</v>
      </c>
      <c r="DU33" s="20">
        <f>CR61</f>
        <v>243.52</v>
      </c>
      <c r="DV33" s="92">
        <f>CR51</f>
        <v>24.240000000000002</v>
      </c>
      <c r="DW33" s="21">
        <f>CR40</f>
        <v>151.28</v>
      </c>
      <c r="DX33" s="93" t="e">
        <f t="shared" si="1"/>
        <v>#REF!</v>
      </c>
      <c r="DY33" s="94">
        <f>CR27</f>
        <v>413.99</v>
      </c>
      <c r="DZ33" s="93" t="e">
        <f t="shared" si="2"/>
        <v>#REF!</v>
      </c>
      <c r="EA33" s="93" t="e">
        <f t="shared" si="3"/>
        <v>#REF!</v>
      </c>
      <c r="EB33" s="93"/>
      <c r="EC33" s="86"/>
      <c r="EE33" s="54">
        <f t="shared" si="5"/>
        <v>26</v>
      </c>
      <c r="EF33" s="54" t="s">
        <v>213</v>
      </c>
      <c r="EG33" s="94">
        <f t="shared" si="6"/>
        <v>413.99</v>
      </c>
    </row>
    <row r="34" spans="1:147" ht="24.95" hidden="1" customHeight="1" x14ac:dyDescent="0.25">
      <c r="A34" s="5" t="s">
        <v>47</v>
      </c>
      <c r="B34" s="5" t="s">
        <v>10</v>
      </c>
      <c r="C34" s="53">
        <v>8.1</v>
      </c>
      <c r="D34" s="297"/>
      <c r="E34" s="7" t="s">
        <v>4</v>
      </c>
      <c r="F34" s="8">
        <v>-4.1900000000000004</v>
      </c>
      <c r="G34" s="297"/>
      <c r="H34" s="5" t="s">
        <v>10</v>
      </c>
      <c r="I34" s="53">
        <v>8.1</v>
      </c>
      <c r="K34" s="298"/>
      <c r="L34" s="52" t="s">
        <v>4</v>
      </c>
      <c r="M34" s="10">
        <v>-11.09</v>
      </c>
      <c r="N34" s="47"/>
      <c r="O34" s="7" t="s">
        <v>144</v>
      </c>
      <c r="P34" s="8">
        <f>28.17*0</f>
        <v>0</v>
      </c>
      <c r="X34" s="36" t="s">
        <v>12</v>
      </c>
      <c r="Y34" s="195">
        <f>Y35+Y36+Y37</f>
        <v>63871.22</v>
      </c>
      <c r="Z34" s="59">
        <f>F14+I51</f>
        <v>1074.3799999999999</v>
      </c>
      <c r="AC34" s="146" t="s">
        <v>147</v>
      </c>
      <c r="AD34" s="147">
        <v>1.86</v>
      </c>
      <c r="AI34" t="s">
        <v>68</v>
      </c>
      <c r="AJ34" s="55">
        <v>33.74</v>
      </c>
      <c r="AL34" t="s">
        <v>68</v>
      </c>
      <c r="AM34" s="55">
        <v>33.74</v>
      </c>
      <c r="AO34" t="s">
        <v>68</v>
      </c>
      <c r="AP34" s="55">
        <v>33.74</v>
      </c>
      <c r="AR34" t="s">
        <v>68</v>
      </c>
      <c r="AS34" s="55">
        <v>33.74</v>
      </c>
      <c r="AU34" t="s">
        <v>68</v>
      </c>
      <c r="AV34" s="55">
        <v>33.74</v>
      </c>
      <c r="AX34" t="s">
        <v>68</v>
      </c>
      <c r="AY34" s="55">
        <v>33.74</v>
      </c>
      <c r="BA34" t="s">
        <v>68</v>
      </c>
      <c r="BB34" s="55">
        <v>33.74</v>
      </c>
      <c r="BD34" t="s">
        <v>68</v>
      </c>
      <c r="BE34" s="55">
        <v>33.74</v>
      </c>
      <c r="BG34" t="s">
        <v>68</v>
      </c>
      <c r="BH34" s="55">
        <v>33.74</v>
      </c>
      <c r="BJ34" t="s">
        <v>68</v>
      </c>
      <c r="BK34" s="55">
        <v>33.74</v>
      </c>
      <c r="BM34" t="s">
        <v>68</v>
      </c>
      <c r="BN34" s="55">
        <v>33.74</v>
      </c>
      <c r="BP34" t="s">
        <v>68</v>
      </c>
      <c r="BQ34" s="55">
        <v>33.74</v>
      </c>
      <c r="BS34" t="s">
        <v>68</v>
      </c>
      <c r="BT34" s="55">
        <v>33.74</v>
      </c>
      <c r="BV34" t="s">
        <v>68</v>
      </c>
      <c r="BW34" s="55">
        <v>33.74</v>
      </c>
      <c r="BY34" t="s">
        <v>68</v>
      </c>
      <c r="BZ34" s="55">
        <v>33.74</v>
      </c>
      <c r="CB34" t="s">
        <v>68</v>
      </c>
      <c r="CC34" s="55">
        <v>33.74</v>
      </c>
      <c r="CE34" t="s">
        <v>68</v>
      </c>
      <c r="CF34" s="55">
        <v>33.74</v>
      </c>
      <c r="CH34" t="s">
        <v>68</v>
      </c>
      <c r="CI34" s="55">
        <v>33.74</v>
      </c>
      <c r="CK34" t="s">
        <v>68</v>
      </c>
      <c r="CL34" s="55">
        <v>33.74</v>
      </c>
      <c r="CN34" t="s">
        <v>68</v>
      </c>
      <c r="CO34" s="55">
        <v>33.74</v>
      </c>
      <c r="CQ34" t="s">
        <v>68</v>
      </c>
      <c r="CR34" s="55">
        <v>33.74</v>
      </c>
      <c r="CT34" t="s">
        <v>68</v>
      </c>
      <c r="CU34" s="55">
        <v>33.74</v>
      </c>
      <c r="CW34" t="s">
        <v>68</v>
      </c>
      <c r="CX34" s="55">
        <v>33.74</v>
      </c>
      <c r="CZ34" t="s">
        <v>68</v>
      </c>
      <c r="DA34" s="55">
        <v>33.74</v>
      </c>
      <c r="DC34" t="s">
        <v>68</v>
      </c>
      <c r="DD34" s="55">
        <v>33.74</v>
      </c>
      <c r="DF34" t="s">
        <v>68</v>
      </c>
      <c r="DG34" s="55">
        <v>34.83</v>
      </c>
      <c r="DI34"/>
      <c r="DL34" s="54">
        <f t="shared" si="4"/>
        <v>27</v>
      </c>
      <c r="DM34" s="86" t="s">
        <v>207</v>
      </c>
      <c r="DN34" s="91">
        <f>CU72</f>
        <v>2899.68</v>
      </c>
      <c r="DO34" s="91" t="e">
        <f>#REF!</f>
        <v>#REF!</v>
      </c>
      <c r="DP34" s="91">
        <f>CU52</f>
        <v>18.38</v>
      </c>
      <c r="DQ34" s="91">
        <v>0</v>
      </c>
      <c r="DR34" s="91">
        <f>CU41</f>
        <v>134.96</v>
      </c>
      <c r="DS34" s="91" t="e">
        <f t="shared" si="0"/>
        <v>#REF!</v>
      </c>
      <c r="DT34" s="19" t="e">
        <f>CU71</f>
        <v>#REF!</v>
      </c>
      <c r="DU34" s="20">
        <f>CU61</f>
        <v>243.52</v>
      </c>
      <c r="DV34" s="92">
        <f>CU51</f>
        <v>24.240000000000002</v>
      </c>
      <c r="DW34" s="21">
        <f>CU40</f>
        <v>151.28</v>
      </c>
      <c r="DX34" s="93" t="e">
        <f t="shared" si="1"/>
        <v>#REF!</v>
      </c>
      <c r="DY34" s="94">
        <f>CU27</f>
        <v>413.99</v>
      </c>
      <c r="DZ34" s="93" t="e">
        <f t="shared" si="2"/>
        <v>#REF!</v>
      </c>
      <c r="EA34" s="93" t="e">
        <f t="shared" si="3"/>
        <v>#REF!</v>
      </c>
      <c r="EB34" s="93"/>
      <c r="EC34" s="86"/>
      <c r="EE34" s="54">
        <f t="shared" si="5"/>
        <v>27</v>
      </c>
      <c r="EF34" s="54" t="s">
        <v>207</v>
      </c>
      <c r="EG34" s="94">
        <f t="shared" si="6"/>
        <v>413.99</v>
      </c>
    </row>
    <row r="35" spans="1:147" ht="45" hidden="1" customHeight="1" x14ac:dyDescent="0.25">
      <c r="A35" s="31"/>
      <c r="B35" s="7" t="s">
        <v>136</v>
      </c>
      <c r="C35" s="8">
        <v>48.08</v>
      </c>
      <c r="D35" s="137" t="s">
        <v>47</v>
      </c>
      <c r="E35" s="5" t="s">
        <v>10</v>
      </c>
      <c r="F35" s="53">
        <v>8.1</v>
      </c>
      <c r="G35" s="137" t="s">
        <v>47</v>
      </c>
      <c r="H35" s="7" t="s">
        <v>136</v>
      </c>
      <c r="I35" s="8">
        <v>48.08</v>
      </c>
      <c r="K35" s="298"/>
      <c r="L35" s="52" t="s">
        <v>45</v>
      </c>
      <c r="M35" s="10">
        <v>38.67</v>
      </c>
      <c r="N35" s="47"/>
      <c r="O35" s="7" t="s">
        <v>4</v>
      </c>
      <c r="P35" s="8">
        <f>-3.42*0</f>
        <v>0</v>
      </c>
      <c r="X35" s="35" t="s">
        <v>152</v>
      </c>
      <c r="Y35" s="161">
        <v>56208.97</v>
      </c>
      <c r="Z35" s="57">
        <f>(Y35*$Z$34)/$Y$34</f>
        <v>945.49302782379914</v>
      </c>
      <c r="AA35" s="126">
        <f>Z23+Z35</f>
        <v>4716.8430278237984</v>
      </c>
      <c r="AC35" s="146" t="s">
        <v>327</v>
      </c>
      <c r="AD35" s="147">
        <v>47.22</v>
      </c>
      <c r="AF35" s="67" t="s">
        <v>35</v>
      </c>
      <c r="AG35" s="68">
        <v>37.82</v>
      </c>
      <c r="AI35" s="67" t="s">
        <v>35</v>
      </c>
      <c r="AJ35" s="68">
        <v>37.82</v>
      </c>
      <c r="AL35" s="67" t="s">
        <v>35</v>
      </c>
      <c r="AM35" s="68">
        <v>37.82</v>
      </c>
      <c r="AO35" s="67" t="s">
        <v>35</v>
      </c>
      <c r="AP35" s="68">
        <v>37.82</v>
      </c>
      <c r="AR35" s="67" t="s">
        <v>35</v>
      </c>
      <c r="AS35" s="68">
        <v>37.82</v>
      </c>
      <c r="AU35" s="67" t="s">
        <v>35</v>
      </c>
      <c r="AV35" s="68">
        <v>37.82</v>
      </c>
      <c r="AX35" s="67" t="s">
        <v>35</v>
      </c>
      <c r="AY35" s="68">
        <v>37.82</v>
      </c>
      <c r="BA35" s="67" t="s">
        <v>35</v>
      </c>
      <c r="BB35" s="68">
        <v>37.82</v>
      </c>
      <c r="BD35" s="67" t="s">
        <v>35</v>
      </c>
      <c r="BE35" s="68">
        <v>37.82</v>
      </c>
      <c r="BG35" s="67" t="s">
        <v>35</v>
      </c>
      <c r="BH35" s="68">
        <v>37.82</v>
      </c>
      <c r="BJ35" s="67" t="s">
        <v>35</v>
      </c>
      <c r="BK35" s="68">
        <v>37.82</v>
      </c>
      <c r="BM35" s="67" t="s">
        <v>35</v>
      </c>
      <c r="BN35" s="68">
        <v>37.82</v>
      </c>
      <c r="BP35" s="67" t="s">
        <v>35</v>
      </c>
      <c r="BQ35" s="68">
        <v>37.82</v>
      </c>
      <c r="BS35" s="67" t="s">
        <v>35</v>
      </c>
      <c r="BT35" s="68">
        <v>37.82</v>
      </c>
      <c r="BV35" s="67" t="s">
        <v>35</v>
      </c>
      <c r="BW35" s="68">
        <v>37.82</v>
      </c>
      <c r="BY35" s="67" t="s">
        <v>35</v>
      </c>
      <c r="BZ35" s="68">
        <v>37.82</v>
      </c>
      <c r="CB35" s="67" t="s">
        <v>35</v>
      </c>
      <c r="CC35" s="68">
        <v>37.82</v>
      </c>
      <c r="CE35" s="67" t="s">
        <v>35</v>
      </c>
      <c r="CF35" s="68">
        <v>37.82</v>
      </c>
      <c r="CH35" s="67" t="s">
        <v>35</v>
      </c>
      <c r="CI35" s="68">
        <v>37.82</v>
      </c>
      <c r="CK35" s="67" t="s">
        <v>35</v>
      </c>
      <c r="CL35" s="68">
        <v>37.82</v>
      </c>
      <c r="CN35" s="67" t="s">
        <v>35</v>
      </c>
      <c r="CO35" s="68">
        <v>37.82</v>
      </c>
      <c r="CQ35" s="67" t="s">
        <v>35</v>
      </c>
      <c r="CR35" s="68">
        <v>37.82</v>
      </c>
      <c r="CT35" s="67" t="s">
        <v>35</v>
      </c>
      <c r="CU35" s="68">
        <v>37.82</v>
      </c>
      <c r="CW35" s="67" t="s">
        <v>35</v>
      </c>
      <c r="CX35" s="68">
        <v>37.82</v>
      </c>
      <c r="CZ35" s="67" t="s">
        <v>35</v>
      </c>
      <c r="DA35" s="68">
        <v>37.82</v>
      </c>
      <c r="DC35" s="67" t="s">
        <v>35</v>
      </c>
      <c r="DD35" s="68">
        <v>37.82</v>
      </c>
      <c r="DF35" s="67"/>
      <c r="DG35" s="68"/>
      <c r="DH35" s="121"/>
      <c r="DI35" s="122"/>
      <c r="DJ35" s="121"/>
      <c r="DL35" s="54">
        <f t="shared" si="4"/>
        <v>28</v>
      </c>
      <c r="DM35" s="86" t="s">
        <v>208</v>
      </c>
      <c r="DN35" s="91">
        <f>CX72</f>
        <v>2648.4</v>
      </c>
      <c r="DO35" s="91" t="e">
        <f>#REF!</f>
        <v>#REF!</v>
      </c>
      <c r="DP35" s="91">
        <f>CX52</f>
        <v>18.38</v>
      </c>
      <c r="DQ35" s="91">
        <v>0</v>
      </c>
      <c r="DR35" s="91">
        <f>CX41</f>
        <v>134.96</v>
      </c>
      <c r="DS35" s="91" t="e">
        <f t="shared" si="0"/>
        <v>#REF!</v>
      </c>
      <c r="DT35" s="19" t="e">
        <f>CX71</f>
        <v>#REF!</v>
      </c>
      <c r="DU35" s="20">
        <f>CX61</f>
        <v>243.52</v>
      </c>
      <c r="DV35" s="92">
        <f>CX51</f>
        <v>24.240000000000002</v>
      </c>
      <c r="DW35" s="21">
        <f>CX40</f>
        <v>151.28</v>
      </c>
      <c r="DX35" s="93" t="e">
        <f t="shared" si="1"/>
        <v>#REF!</v>
      </c>
      <c r="DY35" s="94">
        <f>CX27</f>
        <v>681.56</v>
      </c>
      <c r="DZ35" s="93" t="e">
        <f t="shared" si="2"/>
        <v>#REF!</v>
      </c>
      <c r="EA35" s="93" t="e">
        <f t="shared" si="3"/>
        <v>#REF!</v>
      </c>
      <c r="EB35" s="93"/>
      <c r="EC35" s="90" t="s">
        <v>238</v>
      </c>
      <c r="EE35" s="54">
        <f t="shared" si="5"/>
        <v>28</v>
      </c>
      <c r="EF35" s="54" t="s">
        <v>208</v>
      </c>
      <c r="EG35" s="94">
        <f t="shared" si="6"/>
        <v>681.56</v>
      </c>
    </row>
    <row r="36" spans="1:147" ht="24.95" hidden="1" customHeight="1" x14ac:dyDescent="0.25">
      <c r="A36" s="31"/>
      <c r="B36" s="7" t="s">
        <v>129</v>
      </c>
      <c r="C36" s="8">
        <f>28.52*0</f>
        <v>0</v>
      </c>
      <c r="E36" s="7" t="s">
        <v>136</v>
      </c>
      <c r="F36" s="8">
        <v>48.08</v>
      </c>
      <c r="H36" s="7" t="s">
        <v>129</v>
      </c>
      <c r="I36" s="8">
        <f>28.52*0</f>
        <v>0</v>
      </c>
      <c r="K36" s="299"/>
      <c r="L36" s="52" t="s">
        <v>4</v>
      </c>
      <c r="M36" s="10">
        <v>-2.06</v>
      </c>
      <c r="N36" s="58" t="s">
        <v>52</v>
      </c>
      <c r="O36" s="7" t="s">
        <v>439</v>
      </c>
      <c r="P36" s="8">
        <v>52.31</v>
      </c>
      <c r="X36" s="35" t="s">
        <v>167</v>
      </c>
      <c r="Y36" s="161">
        <v>6623.36</v>
      </c>
      <c r="Z36" s="57">
        <f>(Y36*$Z$34)/$Y$34</f>
        <v>111.41176756604928</v>
      </c>
      <c r="AA36" s="126"/>
      <c r="AC36" s="146" t="s">
        <v>328</v>
      </c>
      <c r="AD36" s="147">
        <v>74.41</v>
      </c>
      <c r="AF36" t="s">
        <v>68</v>
      </c>
      <c r="AG36" s="55">
        <v>33.74</v>
      </c>
      <c r="AI36" t="s">
        <v>68</v>
      </c>
      <c r="AJ36" s="55">
        <v>33.74</v>
      </c>
      <c r="AL36" t="s">
        <v>68</v>
      </c>
      <c r="AM36" s="55">
        <v>33.74</v>
      </c>
      <c r="AO36" t="s">
        <v>68</v>
      </c>
      <c r="AP36" s="55">
        <v>33.74</v>
      </c>
      <c r="AR36" t="s">
        <v>68</v>
      </c>
      <c r="AS36" s="55">
        <v>33.74</v>
      </c>
      <c r="AU36" t="s">
        <v>68</v>
      </c>
      <c r="AV36" s="55">
        <v>33.74</v>
      </c>
      <c r="AX36" t="s">
        <v>68</v>
      </c>
      <c r="AY36" s="55">
        <v>33.74</v>
      </c>
      <c r="BA36" t="s">
        <v>68</v>
      </c>
      <c r="BB36" s="55">
        <v>33.74</v>
      </c>
      <c r="BD36" t="s">
        <v>68</v>
      </c>
      <c r="BE36" s="55">
        <v>33.74</v>
      </c>
      <c r="BG36" t="s">
        <v>68</v>
      </c>
      <c r="BH36" s="55">
        <v>33.74</v>
      </c>
      <c r="BJ36" t="s">
        <v>68</v>
      </c>
      <c r="BK36" s="55">
        <v>33.74</v>
      </c>
      <c r="BM36" t="s">
        <v>68</v>
      </c>
      <c r="BN36" s="55">
        <v>33.74</v>
      </c>
      <c r="BP36" t="s">
        <v>68</v>
      </c>
      <c r="BQ36" s="55">
        <v>33.74</v>
      </c>
      <c r="BS36" t="s">
        <v>68</v>
      </c>
      <c r="BT36" s="55">
        <v>33.74</v>
      </c>
      <c r="BV36" t="s">
        <v>68</v>
      </c>
      <c r="BW36" s="55">
        <v>33.74</v>
      </c>
      <c r="BY36" t="s">
        <v>68</v>
      </c>
      <c r="BZ36" s="55">
        <v>33.74</v>
      </c>
      <c r="CB36" t="s">
        <v>68</v>
      </c>
      <c r="CC36" s="55">
        <v>33.74</v>
      </c>
      <c r="CE36" t="s">
        <v>68</v>
      </c>
      <c r="CF36" s="55">
        <v>33.74</v>
      </c>
      <c r="CH36" t="s">
        <v>68</v>
      </c>
      <c r="CI36" s="55">
        <v>33.74</v>
      </c>
      <c r="CK36" t="s">
        <v>68</v>
      </c>
      <c r="CL36" s="55">
        <v>33.74</v>
      </c>
      <c r="CN36" t="s">
        <v>68</v>
      </c>
      <c r="CO36" s="55">
        <v>33.74</v>
      </c>
      <c r="CQ36" t="s">
        <v>68</v>
      </c>
      <c r="CR36" s="55">
        <v>33.74</v>
      </c>
      <c r="CT36" t="s">
        <v>68</v>
      </c>
      <c r="CU36" s="55">
        <v>33.74</v>
      </c>
      <c r="CW36" t="s">
        <v>68</v>
      </c>
      <c r="CX36" s="55">
        <v>33.74</v>
      </c>
      <c r="CZ36" t="s">
        <v>68</v>
      </c>
      <c r="DA36" s="55">
        <v>33.74</v>
      </c>
      <c r="DC36" t="s">
        <v>68</v>
      </c>
      <c r="DD36" s="55">
        <v>33.74</v>
      </c>
      <c r="DI36"/>
      <c r="DL36" s="54">
        <f t="shared" si="4"/>
        <v>29</v>
      </c>
      <c r="DM36" s="86" t="s">
        <v>209</v>
      </c>
      <c r="DN36" s="91">
        <f>DA72</f>
        <v>2899.68</v>
      </c>
      <c r="DO36" s="91" t="e">
        <f>#REF!</f>
        <v>#REF!</v>
      </c>
      <c r="DP36" s="91">
        <f>DA52</f>
        <v>18.38</v>
      </c>
      <c r="DQ36" s="91">
        <v>0</v>
      </c>
      <c r="DR36" s="91">
        <f>DA41</f>
        <v>134.96</v>
      </c>
      <c r="DS36" s="91" t="e">
        <f t="shared" si="0"/>
        <v>#REF!</v>
      </c>
      <c r="DT36" s="19" t="e">
        <f>DA71</f>
        <v>#REF!</v>
      </c>
      <c r="DU36" s="20">
        <f>DA61</f>
        <v>243.52</v>
      </c>
      <c r="DV36" s="92">
        <f>DA51</f>
        <v>24.240000000000002</v>
      </c>
      <c r="DW36" s="21">
        <f>DA40</f>
        <v>151.28</v>
      </c>
      <c r="DX36" s="93" t="e">
        <f t="shared" si="1"/>
        <v>#REF!</v>
      </c>
      <c r="DY36" s="94">
        <f>DA27</f>
        <v>413.99</v>
      </c>
      <c r="DZ36" s="93" t="e">
        <f t="shared" si="2"/>
        <v>#REF!</v>
      </c>
      <c r="EA36" s="93" t="e">
        <f t="shared" si="3"/>
        <v>#REF!</v>
      </c>
      <c r="EB36" s="93"/>
      <c r="EC36" s="86"/>
      <c r="EE36" s="54">
        <f t="shared" si="5"/>
        <v>29</v>
      </c>
      <c r="EF36" s="54" t="s">
        <v>209</v>
      </c>
      <c r="EG36" s="94">
        <f t="shared" si="6"/>
        <v>413.99</v>
      </c>
    </row>
    <row r="37" spans="1:147" ht="24.95" hidden="1" customHeight="1" x14ac:dyDescent="0.25">
      <c r="B37" s="7" t="s">
        <v>4</v>
      </c>
      <c r="C37" s="8">
        <f>-2.52*0</f>
        <v>0</v>
      </c>
      <c r="D37" s="193"/>
      <c r="E37" s="7" t="s">
        <v>129</v>
      </c>
      <c r="F37" s="8">
        <f>28.52*0</f>
        <v>0</v>
      </c>
      <c r="H37" s="7" t="s">
        <v>4</v>
      </c>
      <c r="I37" s="8">
        <f>-3.18*0</f>
        <v>0</v>
      </c>
      <c r="K37" s="299"/>
      <c r="L37" s="177" t="s">
        <v>141</v>
      </c>
      <c r="M37" s="8">
        <v>30.58</v>
      </c>
      <c r="N37" s="309" t="s">
        <v>48</v>
      </c>
      <c r="O37" s="7" t="s">
        <v>440</v>
      </c>
      <c r="P37" s="8">
        <v>201.55</v>
      </c>
      <c r="X37" s="35" t="s">
        <v>168</v>
      </c>
      <c r="Y37" s="161">
        <v>1038.8900000000001</v>
      </c>
      <c r="Z37" s="57">
        <f>(Y37*$Z$34)/$Y$34</f>
        <v>17.475204610151486</v>
      </c>
      <c r="AC37" s="78" t="s">
        <v>229</v>
      </c>
      <c r="AD37" s="76">
        <f>SUM(AD8:AD36)</f>
        <v>1705.7199999999998</v>
      </c>
      <c r="AF37" s="67" t="s">
        <v>224</v>
      </c>
      <c r="AG37" s="68">
        <v>37.82</v>
      </c>
      <c r="AI37" s="67" t="s">
        <v>224</v>
      </c>
      <c r="AJ37" s="68">
        <v>37.82</v>
      </c>
      <c r="AL37" s="67" t="s">
        <v>224</v>
      </c>
      <c r="AM37" s="68">
        <v>37.82</v>
      </c>
      <c r="AO37" s="67" t="s">
        <v>224</v>
      </c>
      <c r="AP37" s="68">
        <v>37.82</v>
      </c>
      <c r="AR37" s="67" t="s">
        <v>224</v>
      </c>
      <c r="AS37" s="68">
        <v>37.82</v>
      </c>
      <c r="AU37" s="67" t="s">
        <v>224</v>
      </c>
      <c r="AV37" s="68">
        <v>37.82</v>
      </c>
      <c r="AX37" s="67" t="s">
        <v>224</v>
      </c>
      <c r="AY37" s="68">
        <v>37.82</v>
      </c>
      <c r="BA37" s="67" t="s">
        <v>224</v>
      </c>
      <c r="BB37" s="68">
        <v>37.82</v>
      </c>
      <c r="BD37" s="67" t="s">
        <v>224</v>
      </c>
      <c r="BE37" s="68">
        <v>37.82</v>
      </c>
      <c r="BG37" s="67" t="s">
        <v>224</v>
      </c>
      <c r="BH37" s="68">
        <v>37.82</v>
      </c>
      <c r="BJ37" s="67" t="s">
        <v>224</v>
      </c>
      <c r="BK37" s="68">
        <v>37.82</v>
      </c>
      <c r="BM37" s="67" t="s">
        <v>224</v>
      </c>
      <c r="BN37" s="68">
        <v>37.82</v>
      </c>
      <c r="BP37" s="67" t="s">
        <v>224</v>
      </c>
      <c r="BQ37" s="68">
        <v>37.82</v>
      </c>
      <c r="BS37" s="67" t="s">
        <v>224</v>
      </c>
      <c r="BT37" s="68">
        <v>37.82</v>
      </c>
      <c r="BV37" s="67" t="s">
        <v>224</v>
      </c>
      <c r="BW37" s="68">
        <v>37.82</v>
      </c>
      <c r="BY37" s="67" t="s">
        <v>224</v>
      </c>
      <c r="BZ37" s="68">
        <v>37.82</v>
      </c>
      <c r="CB37" s="67" t="s">
        <v>224</v>
      </c>
      <c r="CC37" s="68">
        <v>37.82</v>
      </c>
      <c r="CE37" s="67" t="s">
        <v>224</v>
      </c>
      <c r="CF37" s="68">
        <v>37.82</v>
      </c>
      <c r="CH37" s="67" t="s">
        <v>224</v>
      </c>
      <c r="CI37" s="68">
        <v>37.82</v>
      </c>
      <c r="CK37" s="67" t="s">
        <v>224</v>
      </c>
      <c r="CL37" s="68">
        <v>37.82</v>
      </c>
      <c r="CN37" s="67" t="s">
        <v>224</v>
      </c>
      <c r="CO37" s="68">
        <v>37.82</v>
      </c>
      <c r="CQ37" s="67" t="s">
        <v>224</v>
      </c>
      <c r="CR37" s="68">
        <v>37.82</v>
      </c>
      <c r="CT37" s="67" t="s">
        <v>224</v>
      </c>
      <c r="CU37" s="68">
        <v>37.82</v>
      </c>
      <c r="CW37" s="67" t="s">
        <v>224</v>
      </c>
      <c r="CX37" s="68">
        <v>37.82</v>
      </c>
      <c r="CZ37" s="67" t="s">
        <v>224</v>
      </c>
      <c r="DA37" s="68">
        <v>37.82</v>
      </c>
      <c r="DC37" s="67" t="s">
        <v>224</v>
      </c>
      <c r="DD37" s="68">
        <v>37.82</v>
      </c>
      <c r="DF37" s="67"/>
      <c r="DG37" s="68"/>
      <c r="DH37" s="121"/>
      <c r="DI37" s="122"/>
      <c r="DJ37" s="121"/>
      <c r="DL37" s="54">
        <f t="shared" si="4"/>
        <v>30</v>
      </c>
      <c r="DM37" s="86" t="s">
        <v>210</v>
      </c>
      <c r="DN37" s="91">
        <f>DD72</f>
        <v>2899.68</v>
      </c>
      <c r="DO37" s="91" t="e">
        <f>#REF!</f>
        <v>#REF!</v>
      </c>
      <c r="DP37" s="91">
        <f>DD52</f>
        <v>18.38</v>
      </c>
      <c r="DQ37" s="91">
        <v>0</v>
      </c>
      <c r="DR37" s="91">
        <f>DD41</f>
        <v>134.96</v>
      </c>
      <c r="DS37" s="91" t="e">
        <f t="shared" si="0"/>
        <v>#REF!</v>
      </c>
      <c r="DT37" s="19" t="e">
        <f>DD71</f>
        <v>#REF!</v>
      </c>
      <c r="DU37" s="20">
        <f>DD61</f>
        <v>243.52</v>
      </c>
      <c r="DV37" s="92">
        <f>DD51</f>
        <v>24.240000000000002</v>
      </c>
      <c r="DW37" s="21">
        <f>DD40</f>
        <v>151.28</v>
      </c>
      <c r="DX37" s="93" t="e">
        <f t="shared" si="1"/>
        <v>#REF!</v>
      </c>
      <c r="DY37" s="94">
        <f>DD27</f>
        <v>413.99</v>
      </c>
      <c r="DZ37" s="93" t="e">
        <f t="shared" si="2"/>
        <v>#REF!</v>
      </c>
      <c r="EA37" s="93" t="e">
        <f t="shared" si="3"/>
        <v>#REF!</v>
      </c>
      <c r="EB37" s="93"/>
      <c r="EC37" s="86"/>
      <c r="EE37" s="54">
        <f t="shared" si="5"/>
        <v>30</v>
      </c>
      <c r="EF37" s="54" t="s">
        <v>210</v>
      </c>
      <c r="EG37" s="94">
        <f t="shared" si="6"/>
        <v>413.99</v>
      </c>
    </row>
    <row r="38" spans="1:147" ht="24.95" hidden="1" customHeight="1" x14ac:dyDescent="0.4">
      <c r="A38" s="46" t="s">
        <v>46</v>
      </c>
      <c r="B38" s="45" t="s">
        <v>5</v>
      </c>
      <c r="C38" s="25">
        <v>111.62</v>
      </c>
      <c r="D38" s="193"/>
      <c r="E38" s="7" t="s">
        <v>4</v>
      </c>
      <c r="F38" s="8">
        <f>-3.18*0</f>
        <v>0</v>
      </c>
      <c r="H38" s="3" t="s">
        <v>5</v>
      </c>
      <c r="I38" s="4">
        <v>111.12</v>
      </c>
      <c r="K38" s="299"/>
      <c r="L38" s="177" t="s">
        <v>437</v>
      </c>
      <c r="M38" s="8">
        <v>76.94</v>
      </c>
      <c r="N38" s="309"/>
      <c r="O38" s="1"/>
      <c r="P38" s="2"/>
      <c r="Y38" s="58"/>
      <c r="AF38" t="s">
        <v>68</v>
      </c>
      <c r="AG38" s="55">
        <v>33.74</v>
      </c>
      <c r="AI38" t="s">
        <v>68</v>
      </c>
      <c r="AJ38" s="55">
        <v>33.74</v>
      </c>
      <c r="AL38" t="s">
        <v>68</v>
      </c>
      <c r="AM38" s="55">
        <v>33.74</v>
      </c>
      <c r="AO38" t="s">
        <v>68</v>
      </c>
      <c r="AP38" s="55">
        <v>33.74</v>
      </c>
      <c r="AR38" t="s">
        <v>68</v>
      </c>
      <c r="AS38" s="55">
        <v>33.74</v>
      </c>
      <c r="AU38" t="s">
        <v>68</v>
      </c>
      <c r="AV38" s="55">
        <v>33.74</v>
      </c>
      <c r="AX38" t="s">
        <v>68</v>
      </c>
      <c r="AY38" s="55">
        <v>33.74</v>
      </c>
      <c r="BA38" t="s">
        <v>68</v>
      </c>
      <c r="BB38" s="55">
        <v>33.74</v>
      </c>
      <c r="BD38" t="s">
        <v>68</v>
      </c>
      <c r="BE38" s="55">
        <v>33.74</v>
      </c>
      <c r="BG38" t="s">
        <v>68</v>
      </c>
      <c r="BH38" s="55">
        <v>33.74</v>
      </c>
      <c r="BJ38" t="s">
        <v>68</v>
      </c>
      <c r="BK38" s="55">
        <v>33.74</v>
      </c>
      <c r="BM38" t="s">
        <v>68</v>
      </c>
      <c r="BN38" s="55">
        <v>33.74</v>
      </c>
      <c r="BP38" t="s">
        <v>68</v>
      </c>
      <c r="BQ38" s="55">
        <v>33.74</v>
      </c>
      <c r="BS38" t="s">
        <v>68</v>
      </c>
      <c r="BT38" s="55">
        <v>33.74</v>
      </c>
      <c r="BV38" t="s">
        <v>68</v>
      </c>
      <c r="BW38" s="55">
        <v>33.74</v>
      </c>
      <c r="BY38" t="s">
        <v>68</v>
      </c>
      <c r="BZ38" s="55">
        <v>33.74</v>
      </c>
      <c r="CB38" t="s">
        <v>68</v>
      </c>
      <c r="CC38" s="55">
        <v>33.74</v>
      </c>
      <c r="CE38" t="s">
        <v>68</v>
      </c>
      <c r="CF38" s="55">
        <v>33.74</v>
      </c>
      <c r="CH38" t="s">
        <v>68</v>
      </c>
      <c r="CI38" s="55">
        <v>33.74</v>
      </c>
      <c r="CK38" t="s">
        <v>68</v>
      </c>
      <c r="CL38" s="55">
        <v>33.74</v>
      </c>
      <c r="CN38" t="s">
        <v>68</v>
      </c>
      <c r="CO38" s="55">
        <v>33.74</v>
      </c>
      <c r="CQ38" t="s">
        <v>68</v>
      </c>
      <c r="CR38" s="55">
        <v>33.74</v>
      </c>
      <c r="CT38" t="s">
        <v>68</v>
      </c>
      <c r="CU38" s="55">
        <v>33.74</v>
      </c>
      <c r="CW38" t="s">
        <v>68</v>
      </c>
      <c r="CX38" s="55">
        <v>33.74</v>
      </c>
      <c r="CZ38" t="s">
        <v>68</v>
      </c>
      <c r="DA38" s="55">
        <v>33.74</v>
      </c>
      <c r="DC38" t="s">
        <v>68</v>
      </c>
      <c r="DD38" s="55">
        <v>33.74</v>
      </c>
      <c r="DI38"/>
      <c r="DL38" s="54">
        <f t="shared" si="4"/>
        <v>31</v>
      </c>
      <c r="DM38" s="86" t="s">
        <v>428</v>
      </c>
      <c r="DN38" s="91">
        <f>DG77</f>
        <v>1424.47</v>
      </c>
      <c r="DO38" s="91" t="e">
        <f>DG66</f>
        <v>#REF!</v>
      </c>
      <c r="DP38" s="91">
        <f>DG52</f>
        <v>18.38</v>
      </c>
      <c r="DQ38" s="91">
        <v>0</v>
      </c>
      <c r="DR38" s="91">
        <f>DG41</f>
        <v>67.44</v>
      </c>
      <c r="DS38" s="91" t="e">
        <f t="shared" si="0"/>
        <v>#REF!</v>
      </c>
      <c r="DT38" s="19" t="e">
        <f>DG76</f>
        <v>#REF!</v>
      </c>
      <c r="DU38" s="20" t="e">
        <f>DG65</f>
        <v>#REF!</v>
      </c>
      <c r="DV38" s="92">
        <f>DG51</f>
        <v>24.240000000000002</v>
      </c>
      <c r="DW38" s="21">
        <f>DG40</f>
        <v>76.7</v>
      </c>
      <c r="DX38" s="93" t="e">
        <f t="shared" si="1"/>
        <v>#REF!</v>
      </c>
      <c r="DY38" s="94">
        <f>DG27</f>
        <v>514.86</v>
      </c>
      <c r="DZ38" s="93" t="e">
        <f t="shared" si="2"/>
        <v>#REF!</v>
      </c>
      <c r="EA38" s="93" t="e">
        <f t="shared" si="3"/>
        <v>#REF!</v>
      </c>
      <c r="EB38" s="93"/>
      <c r="EC38" s="86"/>
      <c r="EE38" s="54">
        <f t="shared" si="5"/>
        <v>31</v>
      </c>
      <c r="EF38" s="54" t="s">
        <v>428</v>
      </c>
      <c r="EG38" s="94">
        <f t="shared" si="6"/>
        <v>514.86</v>
      </c>
    </row>
    <row r="39" spans="1:147" ht="24.95" hidden="1" customHeight="1" x14ac:dyDescent="0.4">
      <c r="A39" s="193"/>
      <c r="B39" s="45" t="s">
        <v>4</v>
      </c>
      <c r="C39" s="25">
        <v>-29.14</v>
      </c>
      <c r="D39" s="136" t="s">
        <v>46</v>
      </c>
      <c r="E39" s="3" t="s">
        <v>5</v>
      </c>
      <c r="F39" s="4">
        <v>111.12</v>
      </c>
      <c r="G39" s="136" t="s">
        <v>46</v>
      </c>
      <c r="H39" s="3" t="s">
        <v>4</v>
      </c>
      <c r="I39" s="4">
        <v>-29.33</v>
      </c>
      <c r="L39" s="52" t="s">
        <v>142</v>
      </c>
      <c r="M39" s="10">
        <v>23.25</v>
      </c>
      <c r="N39" s="309"/>
      <c r="O39" s="1"/>
      <c r="P39" s="2"/>
      <c r="Y39" s="58"/>
      <c r="AC39" s="66"/>
      <c r="AD39" s="66"/>
      <c r="DI39"/>
      <c r="DL39" s="54">
        <v>32</v>
      </c>
      <c r="DM39" s="86" t="s">
        <v>237</v>
      </c>
      <c r="DN39" s="91">
        <v>0</v>
      </c>
      <c r="DO39" s="91">
        <v>0</v>
      </c>
      <c r="DP39" s="91">
        <v>0</v>
      </c>
      <c r="DQ39" s="91">
        <v>0</v>
      </c>
      <c r="DR39" s="91">
        <v>0</v>
      </c>
      <c r="DS39" s="91">
        <f t="shared" si="0"/>
        <v>0</v>
      </c>
      <c r="DT39" s="19">
        <v>0</v>
      </c>
      <c r="DU39" s="20">
        <v>0</v>
      </c>
      <c r="DV39" s="92">
        <v>0</v>
      </c>
      <c r="DW39" s="21">
        <v>0</v>
      </c>
      <c r="DX39" s="93">
        <f t="shared" si="1"/>
        <v>0</v>
      </c>
      <c r="DY39" s="94">
        <f>DJ27</f>
        <v>871.47</v>
      </c>
      <c r="DZ39" s="93">
        <f t="shared" si="2"/>
        <v>871.47</v>
      </c>
      <c r="EA39" s="93">
        <f t="shared" si="3"/>
        <v>9380.5030800000004</v>
      </c>
      <c r="EB39" s="93"/>
      <c r="EC39" s="86"/>
      <c r="EE39" s="54">
        <v>32</v>
      </c>
      <c r="EF39" s="54" t="s">
        <v>237</v>
      </c>
      <c r="EG39" s="94">
        <f t="shared" si="6"/>
        <v>871.47</v>
      </c>
    </row>
    <row r="40" spans="1:147" ht="24.95" hidden="1" customHeight="1" x14ac:dyDescent="0.25">
      <c r="A40" s="193"/>
      <c r="B40" s="26" t="s">
        <v>130</v>
      </c>
      <c r="C40" s="25">
        <v>55.64</v>
      </c>
      <c r="D40" s="193"/>
      <c r="E40" s="3" t="s">
        <v>4</v>
      </c>
      <c r="F40" s="4">
        <v>-29.33</v>
      </c>
      <c r="H40" s="3" t="s">
        <v>15</v>
      </c>
      <c r="I40" s="25">
        <v>55.64</v>
      </c>
      <c r="K40" s="50"/>
      <c r="L40" s="52" t="s">
        <v>124</v>
      </c>
      <c r="M40" s="10">
        <v>14.83</v>
      </c>
      <c r="N40" s="309"/>
      <c r="O40" s="1"/>
      <c r="P40" s="2"/>
      <c r="AC40" s="66"/>
      <c r="AD40" s="66"/>
      <c r="AF40" s="77" t="s">
        <v>225</v>
      </c>
      <c r="AG40" s="38">
        <f>AG35+AG37</f>
        <v>75.64</v>
      </c>
      <c r="AI40" s="77" t="s">
        <v>225</v>
      </c>
      <c r="AJ40" s="58">
        <f>AJ31+AJ33+AJ35+AJ37</f>
        <v>151.28</v>
      </c>
      <c r="AL40" s="77" t="s">
        <v>225</v>
      </c>
      <c r="AM40" s="58">
        <f>AM31+AM33+AM35+AM37</f>
        <v>151.28</v>
      </c>
      <c r="AO40" s="77" t="s">
        <v>225</v>
      </c>
      <c r="AP40" s="58">
        <f>AP31+AP33+AP35+AP37</f>
        <v>151.28</v>
      </c>
      <c r="AR40" s="77" t="s">
        <v>225</v>
      </c>
      <c r="AS40" s="58">
        <f>AS31+AS33+AS35+AS37</f>
        <v>151.28</v>
      </c>
      <c r="AU40" s="77" t="s">
        <v>225</v>
      </c>
      <c r="AV40" s="58">
        <f>AV31+AV33+AV35+AV37</f>
        <v>151.28</v>
      </c>
      <c r="AX40" s="77" t="s">
        <v>225</v>
      </c>
      <c r="AY40" s="58">
        <f>AY31+AY33+AY35+AY37</f>
        <v>151.28</v>
      </c>
      <c r="BA40" s="77" t="s">
        <v>225</v>
      </c>
      <c r="BB40" s="58">
        <f>BB31+BB33+BB35+BB37</f>
        <v>151.28</v>
      </c>
      <c r="BD40" s="77" t="s">
        <v>225</v>
      </c>
      <c r="BE40" s="58">
        <f>BE31+BE33+BE35+BE37</f>
        <v>151.28</v>
      </c>
      <c r="BG40" s="77" t="s">
        <v>225</v>
      </c>
      <c r="BH40" s="58">
        <f>BH31+BH33+BH35+BH37</f>
        <v>151.28</v>
      </c>
      <c r="BJ40" s="77" t="s">
        <v>225</v>
      </c>
      <c r="BK40" s="58">
        <f>BK31+BK33+BK35+BK37</f>
        <v>151.28</v>
      </c>
      <c r="BM40" s="77" t="s">
        <v>225</v>
      </c>
      <c r="BN40" s="58">
        <f>BN31+BN33+BN35+BN37</f>
        <v>151.28</v>
      </c>
      <c r="BP40" s="77" t="s">
        <v>225</v>
      </c>
      <c r="BQ40" s="58">
        <f>BQ31+BQ33+BQ35+BQ37</f>
        <v>151.28</v>
      </c>
      <c r="BS40" s="77" t="s">
        <v>225</v>
      </c>
      <c r="BT40" s="58">
        <f>BT31+BT33+BT35+BT37</f>
        <v>151.28</v>
      </c>
      <c r="BV40" s="77" t="s">
        <v>225</v>
      </c>
      <c r="BW40" s="58">
        <f>BW31+BW33+BW35+BW37</f>
        <v>151.28</v>
      </c>
      <c r="BY40" s="77" t="s">
        <v>225</v>
      </c>
      <c r="BZ40" s="58">
        <f>BZ31+BZ33+BZ35+BZ37</f>
        <v>151.28</v>
      </c>
      <c r="CB40" s="77" t="s">
        <v>225</v>
      </c>
      <c r="CC40" s="58">
        <f>CC31+CC33+CC35+CC37</f>
        <v>151.28</v>
      </c>
      <c r="CE40" s="77" t="s">
        <v>225</v>
      </c>
      <c r="CF40" s="58">
        <f>CF31+CF33+CF35+CF37</f>
        <v>151.28</v>
      </c>
      <c r="CH40" s="77" t="s">
        <v>225</v>
      </c>
      <c r="CI40" s="58">
        <f>CI31+CI33+CI35+CI37</f>
        <v>151.28</v>
      </c>
      <c r="CK40" s="77" t="s">
        <v>225</v>
      </c>
      <c r="CL40" s="58">
        <f>CL31+CL33+CL35+CL37</f>
        <v>151.28</v>
      </c>
      <c r="CN40" s="77" t="s">
        <v>225</v>
      </c>
      <c r="CO40" s="58">
        <f>CO31+CO33+CO35+CO37</f>
        <v>151.28</v>
      </c>
      <c r="CQ40" s="77" t="s">
        <v>225</v>
      </c>
      <c r="CR40" s="58">
        <f>CR31+CR33+CR35+CR37</f>
        <v>151.28</v>
      </c>
      <c r="CT40" s="77" t="s">
        <v>225</v>
      </c>
      <c r="CU40" s="58">
        <f>CU31+CU33+CU35+CU37</f>
        <v>151.28</v>
      </c>
      <c r="CW40" s="77" t="s">
        <v>225</v>
      </c>
      <c r="CX40" s="58">
        <f>CX31+CX33+CX35+CX37</f>
        <v>151.28</v>
      </c>
      <c r="CZ40" s="77" t="s">
        <v>225</v>
      </c>
      <c r="DA40" s="58">
        <f>DA31+DA33+DA35+DA37</f>
        <v>151.28</v>
      </c>
      <c r="DC40" s="77" t="s">
        <v>225</v>
      </c>
      <c r="DD40" s="58">
        <f>DD31+DD33+DD35+DD37</f>
        <v>151.28</v>
      </c>
      <c r="DF40" s="77" t="s">
        <v>225</v>
      </c>
      <c r="DG40" s="58">
        <f>DG31+DG33+DG35+DG37</f>
        <v>76.7</v>
      </c>
      <c r="DH40" s="58"/>
      <c r="DI40" s="77"/>
      <c r="DJ40" s="58"/>
      <c r="DM40" s="22"/>
      <c r="DU40" s="95"/>
      <c r="DV40" s="40"/>
      <c r="DW40" s="40"/>
      <c r="DX40" s="40"/>
      <c r="DY40" s="55"/>
      <c r="EF40" s="206"/>
      <c r="EH40" s="192" t="s">
        <v>449</v>
      </c>
      <c r="EI40" s="192"/>
      <c r="EJ40" s="192"/>
      <c r="EK40" s="192"/>
      <c r="EL40" s="260"/>
      <c r="EM40" s="260"/>
      <c r="EN40" s="260"/>
      <c r="EO40" s="192"/>
      <c r="EP40" s="192"/>
      <c r="EQ40" s="258"/>
    </row>
    <row r="41" spans="1:147" ht="24.95" hidden="1" customHeight="1" x14ac:dyDescent="0.25">
      <c r="B41" s="26" t="s">
        <v>4</v>
      </c>
      <c r="C41" s="25">
        <v>-5.54</v>
      </c>
      <c r="E41" s="3" t="s">
        <v>15</v>
      </c>
      <c r="F41" s="25">
        <v>55.64</v>
      </c>
      <c r="H41" s="3" t="s">
        <v>4</v>
      </c>
      <c r="I41" s="25">
        <v>-5.54</v>
      </c>
      <c r="K41" s="50" t="s">
        <v>47</v>
      </c>
      <c r="L41" s="52" t="s">
        <v>123</v>
      </c>
      <c r="M41" s="10">
        <v>37.68</v>
      </c>
      <c r="N41" s="309" t="s">
        <v>47</v>
      </c>
      <c r="AF41" s="77" t="s">
        <v>226</v>
      </c>
      <c r="AG41" s="58">
        <f>AG36+AG38</f>
        <v>67.48</v>
      </c>
      <c r="AI41" s="77" t="s">
        <v>226</v>
      </c>
      <c r="AJ41" s="58">
        <f>AJ32+AJ34+AJ36+AJ38</f>
        <v>134.96</v>
      </c>
      <c r="AL41" s="77" t="s">
        <v>226</v>
      </c>
      <c r="AM41" s="58">
        <f>AM32+AM34+AM36+AM38</f>
        <v>134.96</v>
      </c>
      <c r="AO41" s="77" t="s">
        <v>226</v>
      </c>
      <c r="AP41" s="58">
        <f>AP32+AP34+AP36+AP38</f>
        <v>134.96</v>
      </c>
      <c r="AR41" s="77" t="s">
        <v>226</v>
      </c>
      <c r="AS41" s="58">
        <f>AS32+AS34+AS36+AS38</f>
        <v>134.96</v>
      </c>
      <c r="AU41" s="77" t="s">
        <v>226</v>
      </c>
      <c r="AV41" s="58">
        <f>AV32+AV34+AV36+AV38</f>
        <v>134.96</v>
      </c>
      <c r="AX41" s="77" t="s">
        <v>226</v>
      </c>
      <c r="AY41" s="58">
        <f>AY32+AY34+AY36+AY38</f>
        <v>134.96</v>
      </c>
      <c r="BA41" s="77" t="s">
        <v>226</v>
      </c>
      <c r="BB41" s="58">
        <f>BB32+BB34+BB36+BB38</f>
        <v>134.96</v>
      </c>
      <c r="BD41" s="77" t="s">
        <v>226</v>
      </c>
      <c r="BE41" s="58">
        <f>BE32+BE34+BE36+BE38</f>
        <v>134.96</v>
      </c>
      <c r="BG41" s="77" t="s">
        <v>226</v>
      </c>
      <c r="BH41" s="58">
        <f>BH32+BH34+BH36+BH38</f>
        <v>134.96</v>
      </c>
      <c r="BJ41" s="77" t="s">
        <v>226</v>
      </c>
      <c r="BK41" s="58">
        <f>BK32+BK34+BK36+BK38</f>
        <v>134.96</v>
      </c>
      <c r="BM41" s="77" t="s">
        <v>226</v>
      </c>
      <c r="BN41" s="58">
        <f>BN32+BN34+BN36+BN38</f>
        <v>134.96</v>
      </c>
      <c r="BP41" s="77" t="s">
        <v>226</v>
      </c>
      <c r="BQ41" s="58">
        <f>BQ32+BQ34+BQ36+BQ38</f>
        <v>134.96</v>
      </c>
      <c r="BS41" s="77" t="s">
        <v>226</v>
      </c>
      <c r="BT41" s="58">
        <f>BT32+BT34+BT36+BT38</f>
        <v>134.96</v>
      </c>
      <c r="BV41" s="77" t="s">
        <v>226</v>
      </c>
      <c r="BW41" s="58">
        <f>BW32+BW34+BW36+BW38</f>
        <v>134.96</v>
      </c>
      <c r="BY41" s="77" t="s">
        <v>226</v>
      </c>
      <c r="BZ41" s="58">
        <f>BZ32+BZ34+BZ36+BZ38</f>
        <v>134.96</v>
      </c>
      <c r="CB41" s="77" t="s">
        <v>226</v>
      </c>
      <c r="CC41" s="58">
        <f>CC32+CC34+CC36+CC38</f>
        <v>134.96</v>
      </c>
      <c r="CE41" s="77" t="s">
        <v>226</v>
      </c>
      <c r="CF41" s="58">
        <f>CF32+CF34+CF36+CF38</f>
        <v>134.96</v>
      </c>
      <c r="CH41" s="77" t="s">
        <v>226</v>
      </c>
      <c r="CI41" s="58">
        <f>CI32+CI34+CI36+CI38</f>
        <v>134.96</v>
      </c>
      <c r="CK41" s="77" t="s">
        <v>226</v>
      </c>
      <c r="CL41" s="58">
        <f>CL32+CL34+CL36+CL38</f>
        <v>134.96</v>
      </c>
      <c r="CN41" s="77" t="s">
        <v>226</v>
      </c>
      <c r="CO41" s="58">
        <f>CO32+CO34+CO36+CO38</f>
        <v>134.96</v>
      </c>
      <c r="CQ41" s="77" t="s">
        <v>226</v>
      </c>
      <c r="CR41" s="58">
        <f>CR32+CR34+CR36+CR38</f>
        <v>134.96</v>
      </c>
      <c r="CT41" s="77" t="s">
        <v>226</v>
      </c>
      <c r="CU41" s="58">
        <f>CU32+CU34+CU36+CU38</f>
        <v>134.96</v>
      </c>
      <c r="CW41" s="77" t="s">
        <v>226</v>
      </c>
      <c r="CX41" s="58">
        <f>CX32+CX34+CX36+CX38</f>
        <v>134.96</v>
      </c>
      <c r="CZ41" s="77" t="s">
        <v>226</v>
      </c>
      <c r="DA41" s="58">
        <f>DA32+DA34+DA36+DA38</f>
        <v>134.96</v>
      </c>
      <c r="DC41" s="77" t="s">
        <v>226</v>
      </c>
      <c r="DD41" s="58">
        <f>DD32+DD34+DD36+DD38</f>
        <v>134.96</v>
      </c>
      <c r="DF41" s="77" t="s">
        <v>226</v>
      </c>
      <c r="DG41" s="58">
        <f>DG32+DG34+DG36+DG38</f>
        <v>67.44</v>
      </c>
      <c r="DH41" s="58"/>
      <c r="DI41" s="77"/>
      <c r="DJ41" s="58"/>
      <c r="DL41" s="40"/>
      <c r="DM41" s="47" t="s">
        <v>12</v>
      </c>
      <c r="DN41" s="100" t="e">
        <f t="shared" ref="DN41:EB41" si="7">SUM(DN8:DN39)</f>
        <v>#REF!</v>
      </c>
      <c r="DO41" s="100" t="e">
        <f t="shared" si="7"/>
        <v>#REF!</v>
      </c>
      <c r="DP41" s="100">
        <f t="shared" si="7"/>
        <v>477.87999999999994</v>
      </c>
      <c r="DQ41" s="100">
        <f t="shared" si="7"/>
        <v>0</v>
      </c>
      <c r="DR41" s="100">
        <f t="shared" si="7"/>
        <v>3508.9200000000005</v>
      </c>
      <c r="DS41" s="100" t="e">
        <f t="shared" si="7"/>
        <v>#REF!</v>
      </c>
      <c r="DT41" s="100" t="e">
        <f t="shared" si="7"/>
        <v>#REF!</v>
      </c>
      <c r="DU41" s="100" t="e">
        <f t="shared" si="7"/>
        <v>#REF!</v>
      </c>
      <c r="DV41" s="100">
        <f t="shared" si="7"/>
        <v>630.24000000000012</v>
      </c>
      <c r="DW41" s="100">
        <f t="shared" si="7"/>
        <v>3934.340000000002</v>
      </c>
      <c r="DX41" s="100" t="e">
        <f t="shared" si="7"/>
        <v>#REF!</v>
      </c>
      <c r="DY41" s="100">
        <f t="shared" si="7"/>
        <v>22037.540000000012</v>
      </c>
      <c r="DZ41" s="100" t="e">
        <f t="shared" si="7"/>
        <v>#REF!</v>
      </c>
      <c r="EA41" s="100" t="e">
        <f t="shared" si="7"/>
        <v>#REF!</v>
      </c>
      <c r="EB41" s="100">
        <f t="shared" si="7"/>
        <v>0</v>
      </c>
      <c r="EC41" s="101"/>
      <c r="EE41" s="40"/>
      <c r="EF41" s="95" t="s">
        <v>12</v>
      </c>
      <c r="EG41" s="100">
        <f t="shared" ref="EG41" si="8">SUM(EG8:EG39)</f>
        <v>23180.270000000011</v>
      </c>
      <c r="EH41" s="192">
        <v>24127</v>
      </c>
      <c r="EI41" s="192" t="s">
        <v>450</v>
      </c>
      <c r="EJ41" s="192"/>
      <c r="EK41" s="192"/>
      <c r="EL41" s="260"/>
      <c r="EM41" s="260"/>
      <c r="EN41" s="260"/>
      <c r="EO41" s="192"/>
      <c r="EP41" s="192"/>
      <c r="EQ41" s="258"/>
    </row>
    <row r="42" spans="1:147" ht="24.95" hidden="1" customHeight="1" x14ac:dyDescent="0.25">
      <c r="B42" s="3" t="s">
        <v>91</v>
      </c>
      <c r="C42" s="4">
        <v>73.73</v>
      </c>
      <c r="D42" s="31"/>
      <c r="E42" s="3" t="s">
        <v>4</v>
      </c>
      <c r="F42" s="25">
        <v>-5.54</v>
      </c>
      <c r="H42" s="3" t="s">
        <v>131</v>
      </c>
      <c r="I42" s="4">
        <v>73.73</v>
      </c>
      <c r="K42" s="50"/>
      <c r="L42" s="7" t="s">
        <v>9</v>
      </c>
      <c r="M42" s="143">
        <v>26.5</v>
      </c>
      <c r="N42" s="309"/>
      <c r="DI42"/>
      <c r="DL42" s="40"/>
      <c r="DM42" s="101"/>
      <c r="DU42" s="40"/>
      <c r="DV42" s="40"/>
      <c r="DW42" s="40"/>
      <c r="DX42" s="40"/>
      <c r="DY42" s="40"/>
      <c r="DZ42" s="40"/>
      <c r="EA42" s="101"/>
      <c r="EB42" s="101"/>
      <c r="EC42" s="101"/>
    </row>
    <row r="43" spans="1:147" ht="24.95" hidden="1" customHeight="1" x14ac:dyDescent="0.25">
      <c r="B43" s="3" t="s">
        <v>4</v>
      </c>
      <c r="C43" s="4">
        <v>-7.53</v>
      </c>
      <c r="E43" s="3" t="s">
        <v>131</v>
      </c>
      <c r="F43" s="4">
        <v>73.73</v>
      </c>
      <c r="H43" s="3" t="s">
        <v>4</v>
      </c>
      <c r="I43" s="4">
        <v>-7.59</v>
      </c>
      <c r="L43" s="7" t="s">
        <v>4</v>
      </c>
      <c r="M43" s="8">
        <v>-3.11</v>
      </c>
      <c r="N43" s="309"/>
      <c r="O43" s="42"/>
      <c r="P43" s="43"/>
      <c r="DI43"/>
      <c r="DL43" s="40"/>
      <c r="DM43" s="194" t="s">
        <v>245</v>
      </c>
      <c r="DN43" s="102" t="e">
        <f>DN41/$DZ$41</f>
        <v>#REF!</v>
      </c>
      <c r="DO43" s="102" t="e">
        <f>DO41/$DZ$41</f>
        <v>#REF!</v>
      </c>
      <c r="DP43" s="102" t="e">
        <f>DP41/$DZ$41</f>
        <v>#REF!</v>
      </c>
      <c r="DQ43" s="102" t="e">
        <f t="shared" ref="DQ43:DZ43" si="9">DQ41/$DZ$41</f>
        <v>#REF!</v>
      </c>
      <c r="DR43" s="102" t="e">
        <f t="shared" si="9"/>
        <v>#REF!</v>
      </c>
      <c r="DS43" s="102" t="e">
        <f t="shared" si="9"/>
        <v>#REF!</v>
      </c>
      <c r="DT43" s="102" t="e">
        <f t="shared" si="9"/>
        <v>#REF!</v>
      </c>
      <c r="DU43" s="102" t="e">
        <f t="shared" si="9"/>
        <v>#REF!</v>
      </c>
      <c r="DV43" s="102" t="e">
        <f t="shared" si="9"/>
        <v>#REF!</v>
      </c>
      <c r="DW43" s="102" t="e">
        <f t="shared" si="9"/>
        <v>#REF!</v>
      </c>
      <c r="DX43" s="102" t="e">
        <f t="shared" si="9"/>
        <v>#REF!</v>
      </c>
      <c r="DY43" s="102" t="e">
        <f t="shared" si="9"/>
        <v>#REF!</v>
      </c>
      <c r="DZ43" s="102" t="e">
        <f t="shared" si="9"/>
        <v>#REF!</v>
      </c>
      <c r="EA43" s="107"/>
      <c r="EB43" s="101"/>
      <c r="EC43" s="101"/>
    </row>
    <row r="44" spans="1:147" ht="24.95" hidden="1" customHeight="1" x14ac:dyDescent="0.35">
      <c r="B44" s="3" t="s">
        <v>132</v>
      </c>
      <c r="C44" s="4">
        <v>47.75</v>
      </c>
      <c r="D44" s="31"/>
      <c r="E44" s="3" t="s">
        <v>4</v>
      </c>
      <c r="F44" s="4">
        <v>-7.59</v>
      </c>
      <c r="H44" s="3" t="s">
        <v>132</v>
      </c>
      <c r="I44" s="4">
        <v>47.75</v>
      </c>
      <c r="K44" s="47"/>
      <c r="L44" s="5" t="s">
        <v>10</v>
      </c>
      <c r="M44" s="6">
        <v>7.28</v>
      </c>
      <c r="N44" s="309"/>
      <c r="O44" s="43" t="s">
        <v>12</v>
      </c>
      <c r="P44" s="44">
        <f>SUM(P9:P43)</f>
        <v>3435.99</v>
      </c>
      <c r="AF44" s="62"/>
      <c r="AG44" s="63"/>
      <c r="AI44" s="62" t="s">
        <v>143</v>
      </c>
      <c r="AJ44" s="63"/>
      <c r="AL44" s="62" t="s">
        <v>143</v>
      </c>
      <c r="AM44" s="63"/>
      <c r="AO44" s="62" t="s">
        <v>143</v>
      </c>
      <c r="AP44" s="63"/>
      <c r="AR44" s="62" t="s">
        <v>143</v>
      </c>
      <c r="AS44" s="63"/>
      <c r="AU44" s="62" t="s">
        <v>143</v>
      </c>
      <c r="AV44" s="63"/>
      <c r="AX44" s="62" t="s">
        <v>143</v>
      </c>
      <c r="AY44" s="63"/>
      <c r="BA44" s="62" t="s">
        <v>143</v>
      </c>
      <c r="BB44" s="63"/>
      <c r="BD44" s="62" t="s">
        <v>143</v>
      </c>
      <c r="BE44" s="63"/>
      <c r="BG44" s="62" t="s">
        <v>143</v>
      </c>
      <c r="BH44" s="63"/>
      <c r="BJ44" s="62" t="s">
        <v>143</v>
      </c>
      <c r="BK44" s="63"/>
      <c r="BM44" s="62" t="s">
        <v>143</v>
      </c>
      <c r="BN44" s="63"/>
      <c r="BP44" s="62" t="s">
        <v>143</v>
      </c>
      <c r="BQ44" s="63"/>
      <c r="BS44" s="62" t="s">
        <v>143</v>
      </c>
      <c r="BT44" s="63"/>
      <c r="BV44" s="62" t="s">
        <v>143</v>
      </c>
      <c r="BW44" s="63"/>
      <c r="BY44" s="62" t="s">
        <v>143</v>
      </c>
      <c r="BZ44" s="63"/>
      <c r="CB44" s="62" t="s">
        <v>143</v>
      </c>
      <c r="CC44" s="63"/>
      <c r="CE44" s="62" t="s">
        <v>143</v>
      </c>
      <c r="CF44" s="63"/>
      <c r="CH44" s="62" t="s">
        <v>143</v>
      </c>
      <c r="CI44" s="63"/>
      <c r="CK44" s="62" t="s">
        <v>143</v>
      </c>
      <c r="CL44" s="63"/>
      <c r="CN44" s="62" t="s">
        <v>143</v>
      </c>
      <c r="CO44" s="63"/>
      <c r="CQ44" s="62" t="s">
        <v>143</v>
      </c>
      <c r="CR44" s="63"/>
      <c r="CT44" s="62" t="s">
        <v>143</v>
      </c>
      <c r="CU44" s="63"/>
      <c r="CW44" s="62" t="s">
        <v>143</v>
      </c>
      <c r="CX44" s="63"/>
      <c r="CZ44" s="62" t="s">
        <v>143</v>
      </c>
      <c r="DA44" s="63"/>
      <c r="DC44" s="62" t="s">
        <v>143</v>
      </c>
      <c r="DD44" s="63"/>
      <c r="DF44" s="62" t="s">
        <v>143</v>
      </c>
      <c r="DG44" s="63"/>
      <c r="DH44" s="71"/>
      <c r="DI44" s="66"/>
      <c r="DJ44" s="71"/>
      <c r="DL44" s="310"/>
      <c r="DM44" s="310"/>
      <c r="DN44" s="310"/>
      <c r="DO44" s="310"/>
      <c r="DP44" s="310"/>
      <c r="DQ44" s="310"/>
      <c r="DR44" s="310"/>
      <c r="DS44" s="310"/>
      <c r="DT44" s="310"/>
      <c r="DU44" s="310"/>
      <c r="DV44" s="310"/>
      <c r="DW44" s="310"/>
      <c r="DX44" s="310"/>
      <c r="DY44" s="310"/>
      <c r="DZ44" s="310"/>
      <c r="EA44" s="310"/>
      <c r="EB44" s="310"/>
      <c r="EC44" s="310"/>
    </row>
    <row r="45" spans="1:147" ht="24.95" hidden="1" customHeight="1" x14ac:dyDescent="0.25">
      <c r="B45" s="3" t="s">
        <v>4</v>
      </c>
      <c r="C45" s="104">
        <v>-4.8</v>
      </c>
      <c r="D45" s="31"/>
      <c r="E45" s="3" t="s">
        <v>132</v>
      </c>
      <c r="F45" s="4">
        <v>47.75</v>
      </c>
      <c r="H45" s="3" t="s">
        <v>4</v>
      </c>
      <c r="I45" s="104">
        <v>-4.8</v>
      </c>
      <c r="K45" s="47"/>
      <c r="L45" s="5" t="s">
        <v>22</v>
      </c>
      <c r="M45" s="53">
        <v>33</v>
      </c>
      <c r="N45" s="309"/>
      <c r="AF45" s="66"/>
      <c r="AG45" s="71"/>
      <c r="AI45" s="66"/>
      <c r="AJ45" s="71"/>
      <c r="AL45" s="66"/>
      <c r="AM45" s="71"/>
      <c r="AO45" s="66"/>
      <c r="AP45" s="71"/>
      <c r="AR45" s="66"/>
      <c r="AS45" s="71"/>
      <c r="AU45" s="66"/>
      <c r="AV45" s="71"/>
      <c r="AX45" s="66"/>
      <c r="AY45" s="71"/>
      <c r="BA45" s="66"/>
      <c r="BB45" s="71"/>
      <c r="BD45" s="66"/>
      <c r="BE45" s="71"/>
      <c r="BG45" s="66"/>
      <c r="BH45" s="71"/>
      <c r="BJ45" s="66"/>
      <c r="BK45" s="71"/>
      <c r="BM45" s="66"/>
      <c r="BN45" s="71"/>
      <c r="BP45" s="66"/>
      <c r="BQ45" s="71"/>
      <c r="BS45" s="66"/>
      <c r="BT45" s="71"/>
      <c r="BV45" s="66"/>
      <c r="BW45" s="71"/>
      <c r="BY45" s="66"/>
      <c r="BZ45" s="71"/>
      <c r="CB45" s="66"/>
      <c r="CC45" s="71"/>
      <c r="CE45" s="66"/>
      <c r="CF45" s="71"/>
      <c r="CH45" s="66"/>
      <c r="CI45" s="71"/>
      <c r="CK45" s="66"/>
      <c r="CL45" s="71"/>
      <c r="CN45" s="66"/>
      <c r="CO45" s="71"/>
      <c r="CQ45" s="66"/>
      <c r="CR45" s="71"/>
      <c r="CT45" s="66"/>
      <c r="CU45" s="71"/>
      <c r="CW45" s="66"/>
      <c r="CX45" s="71"/>
      <c r="CZ45" s="66"/>
      <c r="DA45" s="71"/>
      <c r="DC45" s="66"/>
      <c r="DD45" s="71"/>
      <c r="DF45" s="66"/>
      <c r="DG45" s="71"/>
      <c r="DH45" s="71"/>
      <c r="DI45" s="66"/>
      <c r="DJ45" s="71"/>
      <c r="DL45" s="174"/>
      <c r="DM45" s="112" t="s">
        <v>424</v>
      </c>
      <c r="DN45" s="116"/>
      <c r="DO45" s="116"/>
      <c r="DP45" s="116"/>
      <c r="DQ45" s="116"/>
      <c r="DR45" s="116"/>
      <c r="DS45" s="116"/>
      <c r="DT45" s="116"/>
      <c r="DU45" s="116"/>
      <c r="DV45" s="116"/>
      <c r="DW45" s="116"/>
      <c r="DX45" s="116"/>
      <c r="DY45" s="114">
        <f>Z24</f>
        <v>2216.5576740272295</v>
      </c>
      <c r="DZ45" s="113"/>
      <c r="EA45" s="114"/>
      <c r="EB45" s="115"/>
      <c r="EC45" s="116"/>
      <c r="ED45" s="40"/>
      <c r="EE45" s="40"/>
      <c r="EF45" s="40"/>
      <c r="EG45" s="40"/>
    </row>
    <row r="46" spans="1:147" ht="24.95" hidden="1" customHeight="1" x14ac:dyDescent="0.25">
      <c r="B46" s="3" t="s">
        <v>126</v>
      </c>
      <c r="C46" s="4">
        <v>39.06</v>
      </c>
      <c r="D46" s="31"/>
      <c r="E46" s="3" t="s">
        <v>4</v>
      </c>
      <c r="F46" s="104">
        <v>-4.8</v>
      </c>
      <c r="H46" s="3" t="s">
        <v>126</v>
      </c>
      <c r="I46" s="4">
        <v>39.06</v>
      </c>
      <c r="L46" s="5" t="s">
        <v>148</v>
      </c>
      <c r="M46" s="6">
        <v>17.55</v>
      </c>
      <c r="N46" s="309"/>
      <c r="AI46" s="75" t="s">
        <v>36</v>
      </c>
      <c r="AJ46" s="74">
        <f>15.8-3.68</f>
        <v>12.120000000000001</v>
      </c>
      <c r="AL46" s="75" t="s">
        <v>36</v>
      </c>
      <c r="AM46" s="74">
        <f>15.8-3.68</f>
        <v>12.120000000000001</v>
      </c>
      <c r="AO46" s="75" t="s">
        <v>36</v>
      </c>
      <c r="AP46" s="74">
        <f>15.8-3.68</f>
        <v>12.120000000000001</v>
      </c>
      <c r="AR46" s="75" t="s">
        <v>36</v>
      </c>
      <c r="AS46" s="74">
        <f>15.8-3.68</f>
        <v>12.120000000000001</v>
      </c>
      <c r="AU46" s="75" t="s">
        <v>36</v>
      </c>
      <c r="AV46" s="74">
        <f>15.8-3.68</f>
        <v>12.120000000000001</v>
      </c>
      <c r="AX46" s="75" t="s">
        <v>36</v>
      </c>
      <c r="AY46" s="74">
        <f>15.8-3.68</f>
        <v>12.120000000000001</v>
      </c>
      <c r="BA46" s="75" t="s">
        <v>36</v>
      </c>
      <c r="BB46" s="74">
        <f>15.8-3.68</f>
        <v>12.120000000000001</v>
      </c>
      <c r="BD46" s="75" t="s">
        <v>36</v>
      </c>
      <c r="BE46" s="74">
        <f>15.8-3.68</f>
        <v>12.120000000000001</v>
      </c>
      <c r="BG46" s="75" t="s">
        <v>36</v>
      </c>
      <c r="BH46" s="74">
        <f>15.8-3.68</f>
        <v>12.120000000000001</v>
      </c>
      <c r="BJ46" s="75" t="s">
        <v>36</v>
      </c>
      <c r="BK46" s="74">
        <f>15.8-3.68</f>
        <v>12.120000000000001</v>
      </c>
      <c r="BM46" s="75" t="s">
        <v>36</v>
      </c>
      <c r="BN46" s="74">
        <f>15.8-3.68</f>
        <v>12.120000000000001</v>
      </c>
      <c r="BP46" s="75" t="s">
        <v>36</v>
      </c>
      <c r="BQ46" s="74">
        <f>15.8-3.68</f>
        <v>12.120000000000001</v>
      </c>
      <c r="BS46" s="75" t="s">
        <v>36</v>
      </c>
      <c r="BT46" s="74">
        <f>15.8-3.68</f>
        <v>12.120000000000001</v>
      </c>
      <c r="BV46" s="75" t="s">
        <v>36</v>
      </c>
      <c r="BW46" s="74">
        <f>15.8-3.68</f>
        <v>12.120000000000001</v>
      </c>
      <c r="BY46" s="75" t="s">
        <v>36</v>
      </c>
      <c r="BZ46" s="74">
        <f>15.8-3.68</f>
        <v>12.120000000000001</v>
      </c>
      <c r="CB46" s="75" t="s">
        <v>36</v>
      </c>
      <c r="CC46" s="74">
        <f>15.8-3.68</f>
        <v>12.120000000000001</v>
      </c>
      <c r="CE46" s="75" t="s">
        <v>36</v>
      </c>
      <c r="CF46" s="74">
        <f>15.8-3.68</f>
        <v>12.120000000000001</v>
      </c>
      <c r="CH46" s="75" t="s">
        <v>36</v>
      </c>
      <c r="CI46" s="74">
        <f>15.8-3.68</f>
        <v>12.120000000000001</v>
      </c>
      <c r="CK46" s="75" t="s">
        <v>36</v>
      </c>
      <c r="CL46" s="74">
        <f>15.8-3.68</f>
        <v>12.120000000000001</v>
      </c>
      <c r="CN46" s="75" t="s">
        <v>36</v>
      </c>
      <c r="CO46" s="74">
        <f>15.8-3.68</f>
        <v>12.120000000000001</v>
      </c>
      <c r="CQ46" s="75" t="s">
        <v>36</v>
      </c>
      <c r="CR46" s="74">
        <f>15.8-3.68</f>
        <v>12.120000000000001</v>
      </c>
      <c r="CT46" s="75" t="s">
        <v>36</v>
      </c>
      <c r="CU46" s="74">
        <f>15.8-3.68</f>
        <v>12.120000000000001</v>
      </c>
      <c r="CW46" s="75" t="s">
        <v>36</v>
      </c>
      <c r="CX46" s="74">
        <f>15.8-3.68</f>
        <v>12.120000000000001</v>
      </c>
      <c r="CZ46" s="75" t="s">
        <v>36</v>
      </c>
      <c r="DA46" s="74">
        <f>15.8-3.68</f>
        <v>12.120000000000001</v>
      </c>
      <c r="DC46" s="75" t="s">
        <v>36</v>
      </c>
      <c r="DD46" s="74">
        <f>15.8-3.68</f>
        <v>12.120000000000001</v>
      </c>
      <c r="DF46" s="75" t="s">
        <v>36</v>
      </c>
      <c r="DG46" s="74">
        <f>15.8-3.68</f>
        <v>12.120000000000001</v>
      </c>
      <c r="DH46" s="119"/>
      <c r="DI46" s="118"/>
      <c r="DJ46" s="119"/>
      <c r="DN46" s="205"/>
      <c r="DO46" s="205"/>
      <c r="DP46" s="205"/>
      <c r="DQ46" s="205"/>
      <c r="DR46" s="205"/>
      <c r="DS46" s="205"/>
      <c r="DT46" s="174"/>
      <c r="DU46" s="174"/>
      <c r="DV46" s="174"/>
      <c r="DW46" s="174"/>
      <c r="DX46" s="174"/>
    </row>
    <row r="47" spans="1:147" ht="24.95" hidden="1" customHeight="1" x14ac:dyDescent="0.25">
      <c r="B47" s="3" t="s">
        <v>4</v>
      </c>
      <c r="C47" s="4">
        <v>-5.19</v>
      </c>
      <c r="D47" s="138"/>
      <c r="E47" s="3" t="s">
        <v>126</v>
      </c>
      <c r="F47" s="4">
        <v>39.06</v>
      </c>
      <c r="H47" s="3" t="s">
        <v>11</v>
      </c>
      <c r="I47" s="4">
        <v>56.42</v>
      </c>
      <c r="K47" s="47"/>
      <c r="L47" s="7" t="s">
        <v>144</v>
      </c>
      <c r="M47" s="8">
        <f>28.52*0</f>
        <v>0</v>
      </c>
      <c r="N47" s="309"/>
      <c r="AI47" t="s">
        <v>68</v>
      </c>
      <c r="AJ47" s="55">
        <v>9.19</v>
      </c>
      <c r="AL47" t="s">
        <v>68</v>
      </c>
      <c r="AM47" s="55">
        <v>9.19</v>
      </c>
      <c r="AO47" t="s">
        <v>68</v>
      </c>
      <c r="AP47" s="55">
        <v>9.19</v>
      </c>
      <c r="AR47" t="s">
        <v>68</v>
      </c>
      <c r="AS47" s="55">
        <v>9.19</v>
      </c>
      <c r="AU47" t="s">
        <v>68</v>
      </c>
      <c r="AV47" s="55">
        <v>9.19</v>
      </c>
      <c r="AX47" t="s">
        <v>68</v>
      </c>
      <c r="AY47" s="55">
        <v>9.19</v>
      </c>
      <c r="BA47" t="s">
        <v>68</v>
      </c>
      <c r="BB47" s="55">
        <v>9.19</v>
      </c>
      <c r="BD47" t="s">
        <v>68</v>
      </c>
      <c r="BE47" s="55">
        <v>9.19</v>
      </c>
      <c r="BG47" t="s">
        <v>68</v>
      </c>
      <c r="BH47" s="55">
        <v>9.19</v>
      </c>
      <c r="BJ47" t="s">
        <v>68</v>
      </c>
      <c r="BK47" s="55">
        <v>9.19</v>
      </c>
      <c r="BM47" t="s">
        <v>68</v>
      </c>
      <c r="BN47" s="55">
        <v>9.19</v>
      </c>
      <c r="BP47" t="s">
        <v>68</v>
      </c>
      <c r="BQ47" s="55">
        <v>9.19</v>
      </c>
      <c r="BS47" t="s">
        <v>68</v>
      </c>
      <c r="BT47" s="55">
        <v>9.19</v>
      </c>
      <c r="BV47" t="s">
        <v>68</v>
      </c>
      <c r="BW47" s="55">
        <v>9.19</v>
      </c>
      <c r="BY47" t="s">
        <v>68</v>
      </c>
      <c r="BZ47" s="55">
        <v>9.19</v>
      </c>
      <c r="CB47" t="s">
        <v>68</v>
      </c>
      <c r="CC47" s="55">
        <v>9.19</v>
      </c>
      <c r="CE47" t="s">
        <v>68</v>
      </c>
      <c r="CF47" s="55">
        <v>9.19</v>
      </c>
      <c r="CH47" t="s">
        <v>68</v>
      </c>
      <c r="CI47" s="55">
        <v>9.19</v>
      </c>
      <c r="CK47" t="s">
        <v>68</v>
      </c>
      <c r="CL47" s="55">
        <v>9.19</v>
      </c>
      <c r="CN47" t="s">
        <v>68</v>
      </c>
      <c r="CO47" s="55">
        <v>9.19</v>
      </c>
      <c r="CQ47" t="s">
        <v>68</v>
      </c>
      <c r="CR47" s="55">
        <v>9.19</v>
      </c>
      <c r="CT47" t="s">
        <v>68</v>
      </c>
      <c r="CU47" s="55">
        <v>9.19</v>
      </c>
      <c r="CW47" t="s">
        <v>68</v>
      </c>
      <c r="CX47" s="55">
        <v>9.19</v>
      </c>
      <c r="CZ47" t="s">
        <v>68</v>
      </c>
      <c r="DA47" s="55">
        <v>9.19</v>
      </c>
      <c r="DC47" t="s">
        <v>68</v>
      </c>
      <c r="DD47" s="55">
        <v>9.19</v>
      </c>
      <c r="DF47" t="s">
        <v>68</v>
      </c>
      <c r="DG47" s="55">
        <v>9.19</v>
      </c>
      <c r="DI47"/>
      <c r="DL47" s="70"/>
      <c r="DM47" s="47" t="s">
        <v>249</v>
      </c>
      <c r="DN47" s="100" t="e">
        <f>DN41</f>
        <v>#REF!</v>
      </c>
      <c r="DO47" s="100" t="e">
        <f t="shared" ref="DO47:DX47" si="10">DO41</f>
        <v>#REF!</v>
      </c>
      <c r="DP47" s="100">
        <f t="shared" si="10"/>
        <v>477.87999999999994</v>
      </c>
      <c r="DQ47" s="100">
        <f t="shared" si="10"/>
        <v>0</v>
      </c>
      <c r="DR47" s="100">
        <f t="shared" si="10"/>
        <v>3508.9200000000005</v>
      </c>
      <c r="DS47" s="100" t="e">
        <f t="shared" si="10"/>
        <v>#REF!</v>
      </c>
      <c r="DT47" s="100" t="e">
        <f t="shared" si="10"/>
        <v>#REF!</v>
      </c>
      <c r="DU47" s="100" t="e">
        <f t="shared" si="10"/>
        <v>#REF!</v>
      </c>
      <c r="DV47" s="100">
        <f t="shared" si="10"/>
        <v>630.24000000000012</v>
      </c>
      <c r="DW47" s="100">
        <f t="shared" si="10"/>
        <v>3934.340000000002</v>
      </c>
      <c r="DX47" s="100" t="e">
        <f t="shared" si="10"/>
        <v>#REF!</v>
      </c>
      <c r="DY47" s="100">
        <f>DY41+DY45</f>
        <v>24254.097674027242</v>
      </c>
      <c r="DZ47" s="100" t="e">
        <f>DZ41+DY45</f>
        <v>#REF!</v>
      </c>
      <c r="EA47" s="100" t="e">
        <f t="shared" ref="EA47" si="11">DZ47*10.764</f>
        <v>#REF!</v>
      </c>
      <c r="EB47" s="100"/>
      <c r="EC47" s="70"/>
    </row>
    <row r="48" spans="1:147" ht="24.95" hidden="1" customHeight="1" x14ac:dyDescent="0.25">
      <c r="B48" s="3" t="s">
        <v>133</v>
      </c>
      <c r="C48" s="4">
        <v>56.42</v>
      </c>
      <c r="E48" s="3" t="s">
        <v>4</v>
      </c>
      <c r="F48" s="4">
        <v>-5.19</v>
      </c>
      <c r="H48" s="3" t="s">
        <v>4</v>
      </c>
      <c r="I48" s="4">
        <v>-5.55</v>
      </c>
      <c r="K48" s="297" t="s">
        <v>48</v>
      </c>
      <c r="L48" s="7" t="s">
        <v>4</v>
      </c>
      <c r="M48" s="8">
        <f>-3.18*0</f>
        <v>0</v>
      </c>
      <c r="N48" s="309"/>
      <c r="AC48" s="77"/>
      <c r="AD48" s="58"/>
      <c r="AI48" s="75" t="s">
        <v>37</v>
      </c>
      <c r="AJ48" s="74">
        <f>15.8-3.68</f>
        <v>12.120000000000001</v>
      </c>
      <c r="AL48" s="75" t="s">
        <v>37</v>
      </c>
      <c r="AM48" s="74">
        <f>15.8-3.68</f>
        <v>12.120000000000001</v>
      </c>
      <c r="AO48" s="75" t="s">
        <v>37</v>
      </c>
      <c r="AP48" s="74">
        <f>15.8-3.68</f>
        <v>12.120000000000001</v>
      </c>
      <c r="AR48" s="75" t="s">
        <v>37</v>
      </c>
      <c r="AS48" s="74">
        <f>15.8-3.68</f>
        <v>12.120000000000001</v>
      </c>
      <c r="AU48" s="75" t="s">
        <v>37</v>
      </c>
      <c r="AV48" s="74">
        <f>15.8-3.68</f>
        <v>12.120000000000001</v>
      </c>
      <c r="AX48" s="75" t="s">
        <v>37</v>
      </c>
      <c r="AY48" s="74">
        <f>15.8-3.68</f>
        <v>12.120000000000001</v>
      </c>
      <c r="BA48" s="75" t="s">
        <v>37</v>
      </c>
      <c r="BB48" s="74">
        <f>15.8-3.68</f>
        <v>12.120000000000001</v>
      </c>
      <c r="BD48" s="75" t="s">
        <v>37</v>
      </c>
      <c r="BE48" s="74">
        <f>15.8-3.68</f>
        <v>12.120000000000001</v>
      </c>
      <c r="BG48" s="75" t="s">
        <v>37</v>
      </c>
      <c r="BH48" s="74">
        <f>15.8-3.68</f>
        <v>12.120000000000001</v>
      </c>
      <c r="BJ48" s="75" t="s">
        <v>37</v>
      </c>
      <c r="BK48" s="74">
        <f>15.8-3.68</f>
        <v>12.120000000000001</v>
      </c>
      <c r="BM48" s="75" t="s">
        <v>37</v>
      </c>
      <c r="BN48" s="74">
        <f>15.8-3.68</f>
        <v>12.120000000000001</v>
      </c>
      <c r="BP48" s="75" t="s">
        <v>37</v>
      </c>
      <c r="BQ48" s="74">
        <f>15.8-3.68</f>
        <v>12.120000000000001</v>
      </c>
      <c r="BS48" s="75" t="s">
        <v>37</v>
      </c>
      <c r="BT48" s="74">
        <f>15.8-3.68</f>
        <v>12.120000000000001</v>
      </c>
      <c r="BV48" s="75" t="s">
        <v>37</v>
      </c>
      <c r="BW48" s="74">
        <f>15.8-3.68</f>
        <v>12.120000000000001</v>
      </c>
      <c r="BY48" s="75" t="s">
        <v>37</v>
      </c>
      <c r="BZ48" s="74">
        <f>15.8-3.68</f>
        <v>12.120000000000001</v>
      </c>
      <c r="CB48" s="75" t="s">
        <v>37</v>
      </c>
      <c r="CC48" s="74">
        <f>15.8-3.68</f>
        <v>12.120000000000001</v>
      </c>
      <c r="CE48" s="75" t="s">
        <v>37</v>
      </c>
      <c r="CF48" s="74">
        <f>15.8-3.68</f>
        <v>12.120000000000001</v>
      </c>
      <c r="CH48" s="75" t="s">
        <v>37</v>
      </c>
      <c r="CI48" s="74">
        <f>15.8-3.68</f>
        <v>12.120000000000001</v>
      </c>
      <c r="CK48" s="75" t="s">
        <v>37</v>
      </c>
      <c r="CL48" s="74">
        <f>15.8-3.68</f>
        <v>12.120000000000001</v>
      </c>
      <c r="CN48" s="75" t="s">
        <v>37</v>
      </c>
      <c r="CO48" s="74">
        <f>15.8-3.68</f>
        <v>12.120000000000001</v>
      </c>
      <c r="CQ48" s="75" t="s">
        <v>37</v>
      </c>
      <c r="CR48" s="74">
        <f>15.8-3.68</f>
        <v>12.120000000000001</v>
      </c>
      <c r="CT48" s="75" t="s">
        <v>37</v>
      </c>
      <c r="CU48" s="74">
        <f>15.8-3.68</f>
        <v>12.120000000000001</v>
      </c>
      <c r="CW48" s="75" t="s">
        <v>37</v>
      </c>
      <c r="CX48" s="74">
        <f>15.8-3.68</f>
        <v>12.120000000000001</v>
      </c>
      <c r="CZ48" s="75" t="s">
        <v>37</v>
      </c>
      <c r="DA48" s="74">
        <f>15.8-3.68</f>
        <v>12.120000000000001</v>
      </c>
      <c r="DC48" s="75" t="s">
        <v>37</v>
      </c>
      <c r="DD48" s="74">
        <f>15.8-3.68</f>
        <v>12.120000000000001</v>
      </c>
      <c r="DF48" s="75" t="s">
        <v>37</v>
      </c>
      <c r="DG48" s="74">
        <f>15.8-3.68</f>
        <v>12.120000000000001</v>
      </c>
      <c r="DH48" s="119"/>
      <c r="DI48" s="118"/>
      <c r="DJ48" s="119"/>
      <c r="DL48" s="40"/>
      <c r="DM48" s="47"/>
      <c r="DU48" s="40"/>
      <c r="DV48" s="40"/>
      <c r="DW48" s="40"/>
      <c r="DX48" s="40"/>
      <c r="DY48" s="101"/>
      <c r="DZ48" s="101"/>
      <c r="EA48" s="100"/>
      <c r="EB48" s="101"/>
      <c r="EC48" s="95"/>
    </row>
    <row r="49" spans="2:148" ht="24.95" hidden="1" customHeight="1" x14ac:dyDescent="0.25">
      <c r="B49" s="3" t="s">
        <v>4</v>
      </c>
      <c r="C49" s="4">
        <v>-4.5599999999999996</v>
      </c>
      <c r="E49" s="3" t="s">
        <v>11</v>
      </c>
      <c r="F49" s="4">
        <v>56.42</v>
      </c>
      <c r="H49" s="3" t="s">
        <v>17</v>
      </c>
      <c r="I49" s="4">
        <v>51.06</v>
      </c>
      <c r="K49" s="297"/>
      <c r="L49" s="7" t="s">
        <v>145</v>
      </c>
      <c r="M49" s="8">
        <v>44.02</v>
      </c>
      <c r="N49" s="47"/>
      <c r="AC49" s="77"/>
      <c r="AD49" s="58"/>
      <c r="AI49" t="s">
        <v>68</v>
      </c>
      <c r="AJ49" s="55">
        <v>9.19</v>
      </c>
      <c r="AL49" t="s">
        <v>68</v>
      </c>
      <c r="AM49" s="55">
        <v>9.19</v>
      </c>
      <c r="AO49" t="s">
        <v>68</v>
      </c>
      <c r="AP49" s="55">
        <v>9.19</v>
      </c>
      <c r="AR49" t="s">
        <v>68</v>
      </c>
      <c r="AS49" s="55">
        <v>9.19</v>
      </c>
      <c r="AU49" t="s">
        <v>68</v>
      </c>
      <c r="AV49" s="55">
        <v>9.19</v>
      </c>
      <c r="AX49" t="s">
        <v>68</v>
      </c>
      <c r="AY49" s="55">
        <v>9.19</v>
      </c>
      <c r="BA49" t="s">
        <v>68</v>
      </c>
      <c r="BB49" s="55">
        <v>9.19</v>
      </c>
      <c r="BD49" t="s">
        <v>68</v>
      </c>
      <c r="BE49" s="55">
        <v>9.19</v>
      </c>
      <c r="BG49" t="s">
        <v>68</v>
      </c>
      <c r="BH49" s="55">
        <v>9.19</v>
      </c>
      <c r="BJ49" t="s">
        <v>68</v>
      </c>
      <c r="BK49" s="55">
        <v>9.19</v>
      </c>
      <c r="BM49" t="s">
        <v>68</v>
      </c>
      <c r="BN49" s="55">
        <v>9.19</v>
      </c>
      <c r="BP49" t="s">
        <v>68</v>
      </c>
      <c r="BQ49" s="55">
        <v>9.19</v>
      </c>
      <c r="BS49" t="s">
        <v>68</v>
      </c>
      <c r="BT49" s="55">
        <v>9.19</v>
      </c>
      <c r="BV49" t="s">
        <v>68</v>
      </c>
      <c r="BW49" s="55">
        <v>9.19</v>
      </c>
      <c r="BY49" t="s">
        <v>68</v>
      </c>
      <c r="BZ49" s="55">
        <v>9.19</v>
      </c>
      <c r="CB49" t="s">
        <v>68</v>
      </c>
      <c r="CC49" s="55">
        <v>9.19</v>
      </c>
      <c r="CE49" t="s">
        <v>68</v>
      </c>
      <c r="CF49" s="55">
        <v>9.19</v>
      </c>
      <c r="CH49" t="s">
        <v>68</v>
      </c>
      <c r="CI49" s="55">
        <v>9.19</v>
      </c>
      <c r="CK49" t="s">
        <v>68</v>
      </c>
      <c r="CL49" s="55">
        <v>9.19</v>
      </c>
      <c r="CN49" t="s">
        <v>68</v>
      </c>
      <c r="CO49" s="55">
        <v>9.19</v>
      </c>
      <c r="CQ49" t="s">
        <v>68</v>
      </c>
      <c r="CR49" s="55">
        <v>9.19</v>
      </c>
      <c r="CT49" t="s">
        <v>68</v>
      </c>
      <c r="CU49" s="55">
        <v>9.19</v>
      </c>
      <c r="CW49" t="s">
        <v>68</v>
      </c>
      <c r="CX49" s="55">
        <v>9.19</v>
      </c>
      <c r="CZ49" t="s">
        <v>68</v>
      </c>
      <c r="DA49" s="55">
        <v>9.19</v>
      </c>
      <c r="DC49" t="s">
        <v>68</v>
      </c>
      <c r="DD49" s="55">
        <v>9.19</v>
      </c>
      <c r="DF49" t="s">
        <v>68</v>
      </c>
      <c r="DG49" s="55">
        <v>9.19</v>
      </c>
      <c r="DI49"/>
      <c r="DL49" s="40"/>
      <c r="DM49" s="50" t="s">
        <v>245</v>
      </c>
      <c r="DN49" s="102" t="e">
        <f>DN47/$DZ$47</f>
        <v>#REF!</v>
      </c>
      <c r="DO49" s="102" t="e">
        <f>DO47/$DZ$47</f>
        <v>#REF!</v>
      </c>
      <c r="DP49" s="102" t="e">
        <f>DP47/$DZ$47</f>
        <v>#REF!</v>
      </c>
      <c r="DQ49" s="102" t="e">
        <f t="shared" ref="DQ49:DZ49" si="12">DQ47/$DZ$47</f>
        <v>#REF!</v>
      </c>
      <c r="DR49" s="102" t="e">
        <f t="shared" si="12"/>
        <v>#REF!</v>
      </c>
      <c r="DS49" s="102" t="e">
        <f t="shared" si="12"/>
        <v>#REF!</v>
      </c>
      <c r="DT49" s="102" t="e">
        <f t="shared" si="12"/>
        <v>#REF!</v>
      </c>
      <c r="DU49" s="102" t="e">
        <f t="shared" si="12"/>
        <v>#REF!</v>
      </c>
      <c r="DV49" s="102" t="e">
        <f t="shared" si="12"/>
        <v>#REF!</v>
      </c>
      <c r="DW49" s="102" t="e">
        <f t="shared" si="12"/>
        <v>#REF!</v>
      </c>
      <c r="DX49" s="102" t="e">
        <f t="shared" si="12"/>
        <v>#REF!</v>
      </c>
      <c r="DY49" s="102" t="e">
        <f t="shared" si="12"/>
        <v>#REF!</v>
      </c>
      <c r="DZ49" s="102" t="e">
        <f t="shared" si="12"/>
        <v>#REF!</v>
      </c>
      <c r="EA49" s="102"/>
      <c r="EB49" s="117"/>
      <c r="EC49" s="101"/>
    </row>
    <row r="50" spans="2:148" ht="24.95" hidden="1" customHeight="1" x14ac:dyDescent="0.4">
      <c r="D50" s="31"/>
      <c r="E50" s="3" t="s">
        <v>4</v>
      </c>
      <c r="F50" s="4">
        <v>-5.55</v>
      </c>
      <c r="K50" s="46" t="s">
        <v>50</v>
      </c>
      <c r="L50" s="7" t="s">
        <v>23</v>
      </c>
      <c r="M50" s="143">
        <f>12.1*0</f>
        <v>0</v>
      </c>
      <c r="N50" s="47"/>
      <c r="DI50"/>
      <c r="DL50" s="40"/>
      <c r="DS50" s="103"/>
      <c r="DT50" s="96"/>
      <c r="DU50" s="96"/>
      <c r="DV50" s="96"/>
      <c r="DW50" s="41"/>
      <c r="DX50" s="96"/>
      <c r="DY50" s="96"/>
      <c r="DZ50" s="96"/>
      <c r="EA50" s="96"/>
      <c r="EB50" s="96"/>
      <c r="EC50" s="101"/>
    </row>
    <row r="51" spans="2:148" ht="24.95" hidden="1" customHeight="1" x14ac:dyDescent="0.25">
      <c r="D51" s="50" t="s">
        <v>324</v>
      </c>
      <c r="E51" s="106" t="s">
        <v>16</v>
      </c>
      <c r="F51" s="139">
        <v>209.5</v>
      </c>
      <c r="G51" s="140" t="s">
        <v>165</v>
      </c>
      <c r="H51" s="11" t="s">
        <v>163</v>
      </c>
      <c r="I51" s="12">
        <f>922.17-94.99</f>
        <v>827.18</v>
      </c>
      <c r="L51" s="7" t="s">
        <v>438</v>
      </c>
      <c r="M51" s="143">
        <v>110.01</v>
      </c>
      <c r="N51" s="179">
        <f>M13+M14+M37+M38+M42+M43+M47+M48+M49+M50+M51</f>
        <v>360.09000000000003</v>
      </c>
      <c r="AF51" s="77"/>
      <c r="AG51" s="58"/>
      <c r="AI51" s="77" t="s">
        <v>227</v>
      </c>
      <c r="AJ51" s="58">
        <f>AJ46+AJ48</f>
        <v>24.240000000000002</v>
      </c>
      <c r="AL51" s="77" t="s">
        <v>227</v>
      </c>
      <c r="AM51" s="58">
        <f>AM46+AM48</f>
        <v>24.240000000000002</v>
      </c>
      <c r="AO51" s="77" t="s">
        <v>227</v>
      </c>
      <c r="AP51" s="58">
        <f>AP46+AP48</f>
        <v>24.240000000000002</v>
      </c>
      <c r="AR51" s="77" t="s">
        <v>227</v>
      </c>
      <c r="AS51" s="58">
        <f>AS46+AS48</f>
        <v>24.240000000000002</v>
      </c>
      <c r="AU51" s="77" t="s">
        <v>227</v>
      </c>
      <c r="AV51" s="58">
        <f>AV46+AV48</f>
        <v>24.240000000000002</v>
      </c>
      <c r="AX51" s="77" t="s">
        <v>227</v>
      </c>
      <c r="AY51" s="58">
        <f>AY46+AY48</f>
        <v>24.240000000000002</v>
      </c>
      <c r="BA51" s="77" t="s">
        <v>227</v>
      </c>
      <c r="BB51" s="58">
        <f>BB46+BB48</f>
        <v>24.240000000000002</v>
      </c>
      <c r="BD51" s="77" t="s">
        <v>227</v>
      </c>
      <c r="BE51" s="58">
        <f>BE46+BE48</f>
        <v>24.240000000000002</v>
      </c>
      <c r="BG51" s="77" t="s">
        <v>227</v>
      </c>
      <c r="BH51" s="58">
        <f>BH46+BH48</f>
        <v>24.240000000000002</v>
      </c>
      <c r="BJ51" s="77" t="s">
        <v>227</v>
      </c>
      <c r="BK51" s="58">
        <f>BK46+BK48</f>
        <v>24.240000000000002</v>
      </c>
      <c r="BM51" s="77" t="s">
        <v>227</v>
      </c>
      <c r="BN51" s="58">
        <f>BN46+BN48</f>
        <v>24.240000000000002</v>
      </c>
      <c r="BP51" s="77" t="s">
        <v>227</v>
      </c>
      <c r="BQ51" s="58">
        <f>BQ46+BQ48</f>
        <v>24.240000000000002</v>
      </c>
      <c r="BS51" s="77" t="s">
        <v>227</v>
      </c>
      <c r="BT51" s="58">
        <f>BT46+BT48</f>
        <v>24.240000000000002</v>
      </c>
      <c r="BV51" s="77" t="s">
        <v>227</v>
      </c>
      <c r="BW51" s="58">
        <f>BW46+BW48</f>
        <v>24.240000000000002</v>
      </c>
      <c r="BY51" s="77" t="s">
        <v>227</v>
      </c>
      <c r="BZ51" s="58">
        <f>BZ46+BZ48</f>
        <v>24.240000000000002</v>
      </c>
      <c r="CB51" s="77" t="s">
        <v>227</v>
      </c>
      <c r="CC51" s="58">
        <f>CC46+CC48</f>
        <v>24.240000000000002</v>
      </c>
      <c r="CE51" s="77" t="s">
        <v>227</v>
      </c>
      <c r="CF51" s="58">
        <f>CF46+CF48</f>
        <v>24.240000000000002</v>
      </c>
      <c r="CH51" s="77" t="s">
        <v>227</v>
      </c>
      <c r="CI51" s="58">
        <f>CI46+CI48</f>
        <v>24.240000000000002</v>
      </c>
      <c r="CK51" s="77" t="s">
        <v>227</v>
      </c>
      <c r="CL51" s="58">
        <f>CL46+CL48</f>
        <v>24.240000000000002</v>
      </c>
      <c r="CN51" s="77" t="s">
        <v>227</v>
      </c>
      <c r="CO51" s="58">
        <f>CO46+CO48</f>
        <v>24.240000000000002</v>
      </c>
      <c r="CQ51" s="77" t="s">
        <v>227</v>
      </c>
      <c r="CR51" s="58">
        <f>CR46+CR48</f>
        <v>24.240000000000002</v>
      </c>
      <c r="CT51" s="77" t="s">
        <v>227</v>
      </c>
      <c r="CU51" s="58">
        <f>CU46+CU48</f>
        <v>24.240000000000002</v>
      </c>
      <c r="CW51" s="77" t="s">
        <v>227</v>
      </c>
      <c r="CX51" s="58">
        <f>CX46+CX48</f>
        <v>24.240000000000002</v>
      </c>
      <c r="CZ51" s="77" t="s">
        <v>227</v>
      </c>
      <c r="DA51" s="58">
        <f>DA46+DA48</f>
        <v>24.240000000000002</v>
      </c>
      <c r="DC51" s="77" t="s">
        <v>227</v>
      </c>
      <c r="DD51" s="58">
        <f>DD46+DD48</f>
        <v>24.240000000000002</v>
      </c>
      <c r="DF51" s="77" t="s">
        <v>227</v>
      </c>
      <c r="DG51" s="58">
        <f>DG46+DG48</f>
        <v>24.240000000000002</v>
      </c>
      <c r="DH51" s="58"/>
      <c r="DI51" s="77"/>
      <c r="DJ51" s="58"/>
      <c r="DL51" s="40"/>
      <c r="DM51" s="109" t="s">
        <v>248</v>
      </c>
      <c r="DN51" s="153"/>
      <c r="DO51" s="153"/>
      <c r="DP51" s="153"/>
      <c r="DQ51" s="153"/>
      <c r="DR51" s="153"/>
      <c r="DS51" s="153"/>
      <c r="DT51" s="153"/>
      <c r="DU51" s="153"/>
      <c r="DV51" s="153"/>
      <c r="DW51" s="153"/>
      <c r="DX51" s="153"/>
      <c r="DY51" s="111">
        <f>Z14</f>
        <v>1853.1111165406792</v>
      </c>
      <c r="DZ51" s="110"/>
      <c r="EA51" s="110"/>
      <c r="EB51" s="110"/>
      <c r="EC51" s="110"/>
    </row>
    <row r="52" spans="2:148" ht="24.95" hidden="1" customHeight="1" x14ac:dyDescent="0.25">
      <c r="B52" s="77" t="s">
        <v>12</v>
      </c>
      <c r="C52" s="38">
        <f>SUM(C9:C49)</f>
        <v>916.50000000000011</v>
      </c>
      <c r="D52" s="31"/>
      <c r="G52" s="22" t="s">
        <v>325</v>
      </c>
      <c r="H52" s="3" t="s">
        <v>164</v>
      </c>
      <c r="I52" s="4">
        <f>513.07-52.18</f>
        <v>460.89000000000004</v>
      </c>
      <c r="L52" s="1" t="s">
        <v>69</v>
      </c>
      <c r="M52" s="2">
        <f>136.44-12.25</f>
        <v>124.19</v>
      </c>
      <c r="N52" s="47">
        <v>396.77</v>
      </c>
      <c r="AC52" s="66"/>
      <c r="AD52" s="71"/>
      <c r="AF52" s="77"/>
      <c r="AG52" s="58"/>
      <c r="AI52" s="77" t="s">
        <v>228</v>
      </c>
      <c r="AJ52" s="58">
        <f>AJ47+AJ49</f>
        <v>18.38</v>
      </c>
      <c r="AL52" s="77" t="s">
        <v>228</v>
      </c>
      <c r="AM52" s="58">
        <f>AM47+AM49</f>
        <v>18.38</v>
      </c>
      <c r="AO52" s="77" t="s">
        <v>228</v>
      </c>
      <c r="AP52" s="58">
        <f>AP47+AP49</f>
        <v>18.38</v>
      </c>
      <c r="AR52" s="77" t="s">
        <v>228</v>
      </c>
      <c r="AS52" s="58">
        <f>AS47+AS49</f>
        <v>18.38</v>
      </c>
      <c r="AU52" s="77" t="s">
        <v>228</v>
      </c>
      <c r="AV52" s="58">
        <f>AV47+AV49</f>
        <v>18.38</v>
      </c>
      <c r="AX52" s="77" t="s">
        <v>228</v>
      </c>
      <c r="AY52" s="58">
        <f>AY47+AY49</f>
        <v>18.38</v>
      </c>
      <c r="BA52" s="77" t="s">
        <v>228</v>
      </c>
      <c r="BB52" s="58">
        <f>BB47+BB49</f>
        <v>18.38</v>
      </c>
      <c r="BD52" s="77" t="s">
        <v>228</v>
      </c>
      <c r="BE52" s="58">
        <f>BE47+BE49</f>
        <v>18.38</v>
      </c>
      <c r="BG52" s="77" t="s">
        <v>228</v>
      </c>
      <c r="BH52" s="58">
        <f>BH47+BH49</f>
        <v>18.38</v>
      </c>
      <c r="BJ52" s="77" t="s">
        <v>228</v>
      </c>
      <c r="BK52" s="58">
        <f>BK47+BK49</f>
        <v>18.38</v>
      </c>
      <c r="BM52" s="77" t="s">
        <v>228</v>
      </c>
      <c r="BN52" s="58">
        <f>BN47+BN49</f>
        <v>18.38</v>
      </c>
      <c r="BP52" s="77" t="s">
        <v>228</v>
      </c>
      <c r="BQ52" s="58">
        <f>BQ47+BQ49</f>
        <v>18.38</v>
      </c>
      <c r="BS52" s="77" t="s">
        <v>228</v>
      </c>
      <c r="BT52" s="58">
        <f>BT47+BT49</f>
        <v>18.38</v>
      </c>
      <c r="BV52" s="77" t="s">
        <v>228</v>
      </c>
      <c r="BW52" s="58">
        <f>BW47+BW49</f>
        <v>18.38</v>
      </c>
      <c r="BY52" s="77" t="s">
        <v>228</v>
      </c>
      <c r="BZ52" s="58">
        <f>BZ47+BZ49</f>
        <v>18.38</v>
      </c>
      <c r="CB52" s="77" t="s">
        <v>228</v>
      </c>
      <c r="CC52" s="58">
        <f>CC47+CC49</f>
        <v>18.38</v>
      </c>
      <c r="CE52" s="77" t="s">
        <v>228</v>
      </c>
      <c r="CF52" s="58">
        <f>CF47+CF49</f>
        <v>18.38</v>
      </c>
      <c r="CH52" s="77" t="s">
        <v>228</v>
      </c>
      <c r="CI52" s="58">
        <f>CI47+CI49</f>
        <v>18.38</v>
      </c>
      <c r="CK52" s="77" t="s">
        <v>228</v>
      </c>
      <c r="CL52" s="58">
        <f>CL47+CL49</f>
        <v>18.38</v>
      </c>
      <c r="CN52" s="77" t="s">
        <v>228</v>
      </c>
      <c r="CO52" s="58">
        <f>CO47+CO49</f>
        <v>18.38</v>
      </c>
      <c r="CQ52" s="77" t="s">
        <v>228</v>
      </c>
      <c r="CR52" s="58">
        <f>CR47+CR49</f>
        <v>18.38</v>
      </c>
      <c r="CT52" s="77" t="s">
        <v>228</v>
      </c>
      <c r="CU52" s="58">
        <f>CU47+CU49</f>
        <v>18.38</v>
      </c>
      <c r="CW52" s="77" t="s">
        <v>228</v>
      </c>
      <c r="CX52" s="58">
        <f>CX47+CX49</f>
        <v>18.38</v>
      </c>
      <c r="CZ52" s="77" t="s">
        <v>228</v>
      </c>
      <c r="DA52" s="58">
        <f>DA47+DA49</f>
        <v>18.38</v>
      </c>
      <c r="DC52" s="77" t="s">
        <v>228</v>
      </c>
      <c r="DD52" s="58">
        <f>DD47+DD49</f>
        <v>18.38</v>
      </c>
      <c r="DF52" s="77" t="s">
        <v>228</v>
      </c>
      <c r="DG52" s="58">
        <f>DG47+DG49</f>
        <v>18.38</v>
      </c>
      <c r="DH52" s="58"/>
      <c r="DI52" s="77"/>
      <c r="DJ52" s="58"/>
      <c r="DL52" s="40"/>
      <c r="DM52" s="101"/>
      <c r="DN52" s="103"/>
      <c r="DO52" s="103"/>
      <c r="DP52" s="103"/>
      <c r="DQ52" s="103"/>
      <c r="DR52" s="103"/>
      <c r="DS52" s="103"/>
      <c r="DT52" s="96"/>
      <c r="DU52" s="96"/>
      <c r="DV52" s="96"/>
      <c r="DW52" s="41"/>
      <c r="DX52" s="96"/>
      <c r="DY52" s="96"/>
      <c r="DZ52" s="96"/>
      <c r="EA52" s="96"/>
      <c r="EB52" s="96"/>
      <c r="EC52" s="101"/>
    </row>
    <row r="53" spans="2:148" ht="58.5" hidden="1" customHeight="1" x14ac:dyDescent="0.25">
      <c r="D53" s="31"/>
      <c r="L53" s="1" t="s">
        <v>71</v>
      </c>
      <c r="M53" s="2">
        <f>138-12.24</f>
        <v>125.76</v>
      </c>
      <c r="N53" s="47"/>
      <c r="AC53" s="66"/>
      <c r="AD53" s="71"/>
      <c r="DI53"/>
      <c r="DM53" s="47" t="s">
        <v>246</v>
      </c>
      <c r="DN53" s="100" t="e">
        <f>DN47</f>
        <v>#REF!</v>
      </c>
      <c r="DO53" s="100" t="e">
        <f t="shared" ref="DO53:DX53" si="13">DO47</f>
        <v>#REF!</v>
      </c>
      <c r="DP53" s="100">
        <f t="shared" si="13"/>
        <v>477.87999999999994</v>
      </c>
      <c r="DQ53" s="100">
        <f t="shared" si="13"/>
        <v>0</v>
      </c>
      <c r="DR53" s="100">
        <f t="shared" si="13"/>
        <v>3508.9200000000005</v>
      </c>
      <c r="DS53" s="100" t="e">
        <f t="shared" si="13"/>
        <v>#REF!</v>
      </c>
      <c r="DT53" s="100" t="e">
        <f t="shared" si="13"/>
        <v>#REF!</v>
      </c>
      <c r="DU53" s="100" t="e">
        <f t="shared" si="13"/>
        <v>#REF!</v>
      </c>
      <c r="DV53" s="100">
        <f t="shared" si="13"/>
        <v>630.24000000000012</v>
      </c>
      <c r="DW53" s="100">
        <f t="shared" si="13"/>
        <v>3934.340000000002</v>
      </c>
      <c r="DX53" s="100" t="e">
        <f t="shared" si="13"/>
        <v>#REF!</v>
      </c>
      <c r="DY53" s="100">
        <f>DY47+DY51</f>
        <v>26107.208790567922</v>
      </c>
      <c r="DZ53" s="100" t="e">
        <f>DZ47+DY51</f>
        <v>#REF!</v>
      </c>
      <c r="EA53" s="100" t="e">
        <f>DZ53*10.764</f>
        <v>#REF!</v>
      </c>
      <c r="EB53" s="100"/>
      <c r="EC53" s="95" t="s">
        <v>461</v>
      </c>
      <c r="ED53" s="193" t="s">
        <v>459</v>
      </c>
    </row>
    <row r="54" spans="2:148" ht="57.75" hidden="1" customHeight="1" x14ac:dyDescent="0.25">
      <c r="B54" t="s">
        <v>13</v>
      </c>
      <c r="C54" s="55">
        <v>21453.58</v>
      </c>
      <c r="D54" s="31"/>
      <c r="L54" s="1" t="s">
        <v>22</v>
      </c>
      <c r="M54" s="2">
        <v>38.53</v>
      </c>
      <c r="N54" s="47"/>
      <c r="AF54" s="66"/>
      <c r="AG54" s="71"/>
      <c r="AI54" s="64" t="s">
        <v>172</v>
      </c>
      <c r="AJ54" s="65"/>
      <c r="AL54" s="64" t="s">
        <v>172</v>
      </c>
      <c r="AM54" s="65"/>
      <c r="AO54" s="64" t="s">
        <v>172</v>
      </c>
      <c r="AP54" s="65"/>
      <c r="AR54" s="64" t="s">
        <v>172</v>
      </c>
      <c r="AS54" s="65"/>
      <c r="AU54" s="64" t="s">
        <v>172</v>
      </c>
      <c r="AV54" s="65"/>
      <c r="AX54" s="64" t="s">
        <v>172</v>
      </c>
      <c r="AY54" s="65"/>
      <c r="BA54" s="64" t="s">
        <v>172</v>
      </c>
      <c r="BB54" s="65"/>
      <c r="BD54" s="64" t="s">
        <v>172</v>
      </c>
      <c r="BE54" s="65"/>
      <c r="BG54" s="64" t="s">
        <v>172</v>
      </c>
      <c r="BH54" s="65"/>
      <c r="BJ54" s="64" t="s">
        <v>172</v>
      </c>
      <c r="BK54" s="65"/>
      <c r="BM54" s="64" t="s">
        <v>172</v>
      </c>
      <c r="BN54" s="65"/>
      <c r="BP54" s="64" t="s">
        <v>172</v>
      </c>
      <c r="BQ54" s="65"/>
      <c r="BS54" s="64" t="s">
        <v>172</v>
      </c>
      <c r="BT54" s="65"/>
      <c r="BV54" s="64" t="s">
        <v>172</v>
      </c>
      <c r="BW54" s="65"/>
      <c r="BY54" s="64" t="s">
        <v>172</v>
      </c>
      <c r="BZ54" s="65"/>
      <c r="CB54" s="64" t="s">
        <v>172</v>
      </c>
      <c r="CC54" s="65"/>
      <c r="CE54" s="64" t="s">
        <v>172</v>
      </c>
      <c r="CF54" s="65"/>
      <c r="CH54" s="64" t="s">
        <v>172</v>
      </c>
      <c r="CI54" s="65"/>
      <c r="CK54" s="64" t="s">
        <v>172</v>
      </c>
      <c r="CL54" s="65"/>
      <c r="CN54" s="64" t="s">
        <v>172</v>
      </c>
      <c r="CO54" s="65"/>
      <c r="CQ54" s="64" t="s">
        <v>172</v>
      </c>
      <c r="CR54" s="65"/>
      <c r="CT54" s="64" t="s">
        <v>172</v>
      </c>
      <c r="CU54" s="65"/>
      <c r="CW54" s="64" t="s">
        <v>172</v>
      </c>
      <c r="CX54" s="65"/>
      <c r="CZ54" s="64" t="s">
        <v>172</v>
      </c>
      <c r="DA54" s="65"/>
      <c r="DC54" s="64" t="s">
        <v>172</v>
      </c>
      <c r="DD54" s="65"/>
      <c r="DF54" s="64" t="s">
        <v>172</v>
      </c>
      <c r="DG54" s="65"/>
      <c r="DH54" s="71"/>
      <c r="DI54" s="66"/>
      <c r="DJ54" s="71"/>
      <c r="DL54" s="40"/>
      <c r="DM54" s="47"/>
      <c r="DN54" s="95"/>
      <c r="DO54" s="95"/>
      <c r="DP54" s="95"/>
      <c r="DQ54" s="95"/>
      <c r="DR54" s="95"/>
      <c r="DS54" s="95"/>
      <c r="DT54" s="95"/>
      <c r="DU54" s="95"/>
      <c r="DV54" s="95"/>
      <c r="DW54" s="95"/>
      <c r="DX54" s="95"/>
      <c r="DY54" s="47"/>
      <c r="DZ54" s="47"/>
      <c r="EA54" s="47"/>
      <c r="EB54" s="47"/>
      <c r="EC54" s="127" t="e">
        <f>EA284</f>
        <v>#REF!</v>
      </c>
      <c r="ED54" s="100">
        <f>22628.1*10.764</f>
        <v>243568.86839999998</v>
      </c>
    </row>
    <row r="55" spans="2:148" ht="33" hidden="1" customHeight="1" x14ac:dyDescent="0.25">
      <c r="B55" t="s">
        <v>4</v>
      </c>
      <c r="C55" s="55">
        <v>-389.66</v>
      </c>
      <c r="D55" s="50"/>
      <c r="L55" s="1" t="s">
        <v>5</v>
      </c>
      <c r="M55" s="2">
        <v>25.03</v>
      </c>
      <c r="N55" s="95"/>
      <c r="AF55" s="66"/>
      <c r="AG55" s="71"/>
      <c r="AI55" s="66"/>
      <c r="AJ55" s="71"/>
      <c r="AL55" s="66"/>
      <c r="AM55" s="71"/>
      <c r="AO55" s="66"/>
      <c r="AP55" s="71"/>
      <c r="AR55" s="66"/>
      <c r="AS55" s="71"/>
      <c r="AU55" s="66"/>
      <c r="AV55" s="71"/>
      <c r="AX55" s="66"/>
      <c r="AY55" s="71"/>
      <c r="BA55" s="66"/>
      <c r="BB55" s="71"/>
      <c r="BD55" s="66"/>
      <c r="BE55" s="71"/>
      <c r="BG55" s="66"/>
      <c r="BH55" s="71"/>
      <c r="BJ55" s="66"/>
      <c r="BK55" s="71"/>
      <c r="BM55" s="66"/>
      <c r="BN55" s="71"/>
      <c r="BP55" s="66"/>
      <c r="BQ55" s="71"/>
      <c r="BS55" s="66"/>
      <c r="BT55" s="71"/>
      <c r="BV55" s="66"/>
      <c r="BW55" s="71"/>
      <c r="BY55" s="66"/>
      <c r="BZ55" s="71"/>
      <c r="CB55" s="66"/>
      <c r="CC55" s="71"/>
      <c r="CE55" s="66"/>
      <c r="CF55" s="71"/>
      <c r="CH55" s="66"/>
      <c r="CI55" s="71"/>
      <c r="CK55" s="66"/>
      <c r="CL55" s="71"/>
      <c r="CN55" s="66"/>
      <c r="CO55" s="71"/>
      <c r="CQ55" s="66"/>
      <c r="CR55" s="71"/>
      <c r="CT55" s="66"/>
      <c r="CU55" s="71"/>
      <c r="CW55" s="66"/>
      <c r="CX55" s="71"/>
      <c r="CZ55" s="66"/>
      <c r="DA55" s="71"/>
      <c r="DC55" s="66"/>
      <c r="DD55" s="71"/>
      <c r="DF55" s="66"/>
      <c r="DG55" s="71"/>
      <c r="DH55" s="71"/>
      <c r="DI55" s="66"/>
      <c r="DJ55" s="71"/>
      <c r="DM55" s="194" t="s">
        <v>247</v>
      </c>
      <c r="DN55" s="102" t="e">
        <f>DN53/$DZ$53</f>
        <v>#REF!</v>
      </c>
      <c r="DO55" s="102" t="e">
        <f>DO53/$DZ$53</f>
        <v>#REF!</v>
      </c>
      <c r="DP55" s="102" t="e">
        <f>DP53/$DZ$53</f>
        <v>#REF!</v>
      </c>
      <c r="DQ55" s="102" t="e">
        <f t="shared" ref="DQ55:DZ55" si="14">DQ53/$DZ$53</f>
        <v>#REF!</v>
      </c>
      <c r="DR55" s="102" t="e">
        <f t="shared" si="14"/>
        <v>#REF!</v>
      </c>
      <c r="DS55" s="102" t="e">
        <f t="shared" si="14"/>
        <v>#REF!</v>
      </c>
      <c r="DT55" s="102" t="e">
        <f t="shared" si="14"/>
        <v>#REF!</v>
      </c>
      <c r="DU55" s="102" t="e">
        <f t="shared" si="14"/>
        <v>#REF!</v>
      </c>
      <c r="DV55" s="102" t="e">
        <f t="shared" si="14"/>
        <v>#REF!</v>
      </c>
      <c r="DW55" s="102" t="e">
        <f t="shared" si="14"/>
        <v>#REF!</v>
      </c>
      <c r="DX55" s="102" t="e">
        <f t="shared" si="14"/>
        <v>#REF!</v>
      </c>
      <c r="DY55" s="102" t="e">
        <f t="shared" si="14"/>
        <v>#REF!</v>
      </c>
      <c r="DZ55" s="102" t="e">
        <f t="shared" si="14"/>
        <v>#REF!</v>
      </c>
      <c r="EA55" s="102"/>
      <c r="EB55" s="102"/>
      <c r="EC55" s="101"/>
      <c r="ED55" s="55" t="e">
        <f>DZ53*25%</f>
        <v>#REF!</v>
      </c>
    </row>
    <row r="56" spans="2:148" ht="14.45" hidden="1" customHeight="1" x14ac:dyDescent="0.25">
      <c r="B56" t="s">
        <v>14</v>
      </c>
      <c r="C56" s="79">
        <f>-(C9+C11+C12+C14+C16+C18+C19+C21+C23+C25+C27+C29+C31+C32+C34+C35+C36+C38+C40+C42+C44+C46+C48)</f>
        <v>-1041.42</v>
      </c>
      <c r="D56" s="50"/>
      <c r="H56" s="77" t="s">
        <v>12</v>
      </c>
      <c r="I56" s="38">
        <f>SUM(I9:I53)</f>
        <v>2289.71</v>
      </c>
      <c r="L56" s="1" t="s">
        <v>241</v>
      </c>
      <c r="M56" s="2">
        <v>44.68</v>
      </c>
      <c r="N56" s="47"/>
      <c r="AD56" s="79"/>
      <c r="AI56" s="73" t="s">
        <v>420</v>
      </c>
      <c r="AJ56" s="72">
        <f>134.52-12.76</f>
        <v>121.76</v>
      </c>
      <c r="AL56" s="73" t="s">
        <v>420</v>
      </c>
      <c r="AM56" s="72">
        <f>134.52-12.76</f>
        <v>121.76</v>
      </c>
      <c r="AO56" s="73" t="s">
        <v>420</v>
      </c>
      <c r="AP56" s="72">
        <f>134.52-12.76</f>
        <v>121.76</v>
      </c>
      <c r="AR56" s="73" t="s">
        <v>420</v>
      </c>
      <c r="AS56" s="72">
        <f>134.52-12.76</f>
        <v>121.76</v>
      </c>
      <c r="AU56" s="73" t="s">
        <v>420</v>
      </c>
      <c r="AV56" s="72">
        <f>134.52-12.76</f>
        <v>121.76</v>
      </c>
      <c r="AX56" s="73" t="s">
        <v>420</v>
      </c>
      <c r="AY56" s="72">
        <f>134.52-12.76</f>
        <v>121.76</v>
      </c>
      <c r="BA56" s="73" t="s">
        <v>420</v>
      </c>
      <c r="BB56" s="72">
        <f>134.52-12.76</f>
        <v>121.76</v>
      </c>
      <c r="BD56" s="73" t="s">
        <v>420</v>
      </c>
      <c r="BE56" s="72">
        <f>134.52-12.76</f>
        <v>121.76</v>
      </c>
      <c r="BG56" s="73" t="s">
        <v>420</v>
      </c>
      <c r="BH56" s="72">
        <f>134.52-12.76</f>
        <v>121.76</v>
      </c>
      <c r="BJ56" s="73" t="s">
        <v>420</v>
      </c>
      <c r="BK56" s="72">
        <f>134.52-12.76</f>
        <v>121.76</v>
      </c>
      <c r="BM56" s="73" t="s">
        <v>420</v>
      </c>
      <c r="BN56" s="72">
        <f>134.52-12.76</f>
        <v>121.76</v>
      </c>
      <c r="BP56" s="73" t="s">
        <v>420</v>
      </c>
      <c r="BQ56" s="72">
        <f>134.52-12.76</f>
        <v>121.76</v>
      </c>
      <c r="BS56" s="73" t="s">
        <v>420</v>
      </c>
      <c r="BT56" s="72">
        <f>134.52-12.76</f>
        <v>121.76</v>
      </c>
      <c r="BV56" s="73" t="s">
        <v>420</v>
      </c>
      <c r="BW56" s="72">
        <f>134.52-12.76</f>
        <v>121.76</v>
      </c>
      <c r="BY56" s="73" t="s">
        <v>420</v>
      </c>
      <c r="BZ56" s="72">
        <f>134.52-12.76</f>
        <v>121.76</v>
      </c>
      <c r="CB56" s="73" t="s">
        <v>420</v>
      </c>
      <c r="CC56" s="72">
        <f>134.52-12.76</f>
        <v>121.76</v>
      </c>
      <c r="CE56" s="73" t="s">
        <v>420</v>
      </c>
      <c r="CF56" s="72">
        <f>134.52-12.76</f>
        <v>121.76</v>
      </c>
      <c r="CH56" s="73" t="s">
        <v>420</v>
      </c>
      <c r="CI56" s="72">
        <f>134.52-12.76</f>
        <v>121.76</v>
      </c>
      <c r="CK56" s="73" t="s">
        <v>420</v>
      </c>
      <c r="CL56" s="72">
        <f>134.52-12.76</f>
        <v>121.76</v>
      </c>
      <c r="CN56" s="73" t="s">
        <v>420</v>
      </c>
      <c r="CO56" s="72">
        <f>134.52-12.76</f>
        <v>121.76</v>
      </c>
      <c r="CQ56" s="73" t="s">
        <v>420</v>
      </c>
      <c r="CR56" s="72">
        <f>134.52-12.76</f>
        <v>121.76</v>
      </c>
      <c r="CT56" s="73" t="s">
        <v>420</v>
      </c>
      <c r="CU56" s="72">
        <f>134.52-12.76</f>
        <v>121.76</v>
      </c>
      <c r="CW56" s="73" t="s">
        <v>420</v>
      </c>
      <c r="CX56" s="72">
        <f>134.52-12.76</f>
        <v>121.76</v>
      </c>
      <c r="CZ56" s="73" t="s">
        <v>420</v>
      </c>
      <c r="DA56" s="72">
        <f>134.52-12.76</f>
        <v>121.76</v>
      </c>
      <c r="DC56" s="73" t="s">
        <v>420</v>
      </c>
      <c r="DD56" s="72">
        <f>134.52-12.76</f>
        <v>121.76</v>
      </c>
      <c r="DF56" s="73" t="s">
        <v>72</v>
      </c>
      <c r="DG56" s="72">
        <f>34.18</f>
        <v>34.18</v>
      </c>
      <c r="DH56" s="119"/>
      <c r="DI56" s="118"/>
      <c r="DJ56" s="119"/>
      <c r="ED56" s="79" t="e">
        <f>ED55-DY53</f>
        <v>#REF!</v>
      </c>
    </row>
    <row r="57" spans="2:148" ht="26.25" customHeight="1" x14ac:dyDescent="0.35">
      <c r="B57" s="77"/>
      <c r="C57" s="58"/>
      <c r="D57" s="50"/>
      <c r="L57" s="1" t="s">
        <v>4</v>
      </c>
      <c r="M57" s="23">
        <v>-4</v>
      </c>
      <c r="N57" s="47"/>
      <c r="AC57" s="77"/>
      <c r="AD57" s="58"/>
      <c r="AI57" t="s">
        <v>68</v>
      </c>
      <c r="AJ57" s="49"/>
      <c r="AL57" t="s">
        <v>68</v>
      </c>
      <c r="AM57" s="49"/>
      <c r="AO57" t="s">
        <v>68</v>
      </c>
      <c r="AP57" s="49"/>
      <c r="AR57" t="s">
        <v>68</v>
      </c>
      <c r="AS57" s="49"/>
      <c r="AU57" t="s">
        <v>68</v>
      </c>
      <c r="AV57" s="49"/>
      <c r="AX57" t="s">
        <v>68</v>
      </c>
      <c r="AY57" s="49"/>
      <c r="BA57" t="s">
        <v>68</v>
      </c>
      <c r="BB57" s="49"/>
      <c r="BD57" t="s">
        <v>68</v>
      </c>
      <c r="BE57" s="49"/>
      <c r="BG57" t="s">
        <v>68</v>
      </c>
      <c r="BH57" s="49"/>
      <c r="BJ57" t="s">
        <v>68</v>
      </c>
      <c r="BK57" s="49"/>
      <c r="BM57" t="s">
        <v>68</v>
      </c>
      <c r="BN57" s="49"/>
      <c r="BP57" t="s">
        <v>68</v>
      </c>
      <c r="BQ57" s="49"/>
      <c r="BS57" t="s">
        <v>68</v>
      </c>
      <c r="BT57" s="49"/>
      <c r="BV57" t="s">
        <v>68</v>
      </c>
      <c r="BW57" s="49"/>
      <c r="BY57" t="s">
        <v>68</v>
      </c>
      <c r="BZ57" s="49"/>
      <c r="CB57" t="s">
        <v>68</v>
      </c>
      <c r="CC57" s="49"/>
      <c r="CE57" t="s">
        <v>68</v>
      </c>
      <c r="CF57" s="49"/>
      <c r="CH57" t="s">
        <v>68</v>
      </c>
      <c r="CI57" s="49"/>
      <c r="CK57" t="s">
        <v>68</v>
      </c>
      <c r="CL57" s="49"/>
      <c r="CN57" t="s">
        <v>68</v>
      </c>
      <c r="CO57" s="49"/>
      <c r="CQ57" t="s">
        <v>68</v>
      </c>
      <c r="CR57" s="49"/>
      <c r="CT57" t="s">
        <v>68</v>
      </c>
      <c r="CU57" s="49"/>
      <c r="CW57" t="s">
        <v>68</v>
      </c>
      <c r="CX57" s="49"/>
      <c r="CZ57" t="s">
        <v>68</v>
      </c>
      <c r="DA57" s="49"/>
      <c r="DC57" t="s">
        <v>68</v>
      </c>
      <c r="DD57" s="49"/>
      <c r="DF57" t="s">
        <v>68</v>
      </c>
      <c r="DG57" s="55">
        <v>29.64</v>
      </c>
      <c r="DI57"/>
      <c r="DL57" s="211" t="s">
        <v>446</v>
      </c>
      <c r="DM57" s="211"/>
      <c r="DN57" s="211"/>
      <c r="DO57" s="211"/>
      <c r="DP57" s="211"/>
      <c r="DQ57" s="211"/>
      <c r="DR57" s="211"/>
      <c r="DS57" s="211"/>
      <c r="DT57" s="211"/>
      <c r="DU57" s="211"/>
      <c r="DV57" s="211"/>
      <c r="DW57" s="211"/>
      <c r="DX57" s="211"/>
      <c r="DY57" s="211"/>
      <c r="DZ57" s="211"/>
      <c r="EA57" s="211"/>
      <c r="EB57" s="181"/>
      <c r="EC57" s="108"/>
      <c r="ED57" s="296" t="s">
        <v>590</v>
      </c>
      <c r="EE57" s="296"/>
      <c r="EF57" s="296"/>
      <c r="EG57" s="296"/>
      <c r="EH57" s="296"/>
      <c r="EI57" s="296"/>
      <c r="EJ57" s="296"/>
      <c r="EK57" s="296"/>
      <c r="EL57" s="296"/>
      <c r="EM57" s="296"/>
      <c r="EN57" s="296"/>
      <c r="EO57" s="296"/>
      <c r="EP57" s="296"/>
      <c r="EQ57" s="296"/>
      <c r="ER57" s="296"/>
    </row>
    <row r="58" spans="2:148" ht="87.75" customHeight="1" x14ac:dyDescent="0.25">
      <c r="B58" s="77" t="s">
        <v>12</v>
      </c>
      <c r="C58" s="58">
        <f>SUM(C54:C57)</f>
        <v>20022.5</v>
      </c>
      <c r="D58" s="50"/>
      <c r="E58" s="77" t="s">
        <v>12</v>
      </c>
      <c r="F58" s="58">
        <f>SUM(F9:F51)</f>
        <v>1366.0700000000002</v>
      </c>
      <c r="H58" t="s">
        <v>13</v>
      </c>
      <c r="I58" s="79">
        <v>23851.8</v>
      </c>
      <c r="L58" s="1" t="s">
        <v>150</v>
      </c>
      <c r="M58" s="2">
        <f>26.35-1.44</f>
        <v>24.91</v>
      </c>
      <c r="N58" s="77"/>
      <c r="AC58" s="77"/>
      <c r="AD58" s="58"/>
      <c r="AI58" s="73" t="s">
        <v>434</v>
      </c>
      <c r="AJ58" s="72">
        <f>134.52-12.76</f>
        <v>121.76</v>
      </c>
      <c r="AL58" s="73" t="s">
        <v>434</v>
      </c>
      <c r="AM58" s="72">
        <f>134.52-12.76</f>
        <v>121.76</v>
      </c>
      <c r="AO58" s="73" t="s">
        <v>420</v>
      </c>
      <c r="AP58" s="72">
        <f>134.52-12.76</f>
        <v>121.76</v>
      </c>
      <c r="AR58" s="73" t="s">
        <v>420</v>
      </c>
      <c r="AS58" s="72">
        <f>134.52-12.76</f>
        <v>121.76</v>
      </c>
      <c r="AU58" s="73" t="s">
        <v>420</v>
      </c>
      <c r="AV58" s="72">
        <f>134.52-12.76</f>
        <v>121.76</v>
      </c>
      <c r="AX58" s="73" t="s">
        <v>420</v>
      </c>
      <c r="AY58" s="72">
        <f>134.52-12.76</f>
        <v>121.76</v>
      </c>
      <c r="BA58" s="73" t="s">
        <v>420</v>
      </c>
      <c r="BB58" s="72">
        <f>134.52-12.76</f>
        <v>121.76</v>
      </c>
      <c r="BD58" s="73" t="s">
        <v>420</v>
      </c>
      <c r="BE58" s="72">
        <f>134.52-12.76</f>
        <v>121.76</v>
      </c>
      <c r="BG58" s="73" t="s">
        <v>420</v>
      </c>
      <c r="BH58" s="72">
        <f>134.52-12.76</f>
        <v>121.76</v>
      </c>
      <c r="BJ58" s="73" t="s">
        <v>420</v>
      </c>
      <c r="BK58" s="72">
        <f>134.52-12.76</f>
        <v>121.76</v>
      </c>
      <c r="BM58" s="73" t="s">
        <v>420</v>
      </c>
      <c r="BN58" s="72">
        <f>134.52-12.76</f>
        <v>121.76</v>
      </c>
      <c r="BP58" s="73" t="s">
        <v>420</v>
      </c>
      <c r="BQ58" s="72">
        <f>134.52-12.76</f>
        <v>121.76</v>
      </c>
      <c r="BS58" s="73" t="s">
        <v>420</v>
      </c>
      <c r="BT58" s="72">
        <f>134.52-12.76</f>
        <v>121.76</v>
      </c>
      <c r="BV58" s="73" t="s">
        <v>420</v>
      </c>
      <c r="BW58" s="72">
        <f>134.52-12.76</f>
        <v>121.76</v>
      </c>
      <c r="BY58" s="73" t="s">
        <v>420</v>
      </c>
      <c r="BZ58" s="72">
        <f>134.52-12.76</f>
        <v>121.76</v>
      </c>
      <c r="CB58" s="73" t="s">
        <v>420</v>
      </c>
      <c r="CC58" s="72">
        <f>134.52-12.76</f>
        <v>121.76</v>
      </c>
      <c r="CE58" s="73" t="s">
        <v>420</v>
      </c>
      <c r="CF58" s="72">
        <f>134.52-12.76</f>
        <v>121.76</v>
      </c>
      <c r="CH58" s="73" t="s">
        <v>420</v>
      </c>
      <c r="CI58" s="72">
        <f>134.52-12.76</f>
        <v>121.76</v>
      </c>
      <c r="CK58" s="73" t="s">
        <v>420</v>
      </c>
      <c r="CL58" s="72">
        <f>134.52-12.76</f>
        <v>121.76</v>
      </c>
      <c r="CN58" s="73" t="s">
        <v>420</v>
      </c>
      <c r="CO58" s="72">
        <f>134.52-12.76</f>
        <v>121.76</v>
      </c>
      <c r="CQ58" s="73" t="s">
        <v>420</v>
      </c>
      <c r="CR58" s="72">
        <f>134.52-12.76</f>
        <v>121.76</v>
      </c>
      <c r="CT58" s="73" t="s">
        <v>420</v>
      </c>
      <c r="CU58" s="72">
        <f>134.52-12.76</f>
        <v>121.76</v>
      </c>
      <c r="CW58" s="73" t="s">
        <v>420</v>
      </c>
      <c r="CX58" s="72">
        <f>134.52-12.76</f>
        <v>121.76</v>
      </c>
      <c r="CZ58" s="73" t="s">
        <v>420</v>
      </c>
      <c r="DA58" s="72">
        <f>134.52-12.76</f>
        <v>121.76</v>
      </c>
      <c r="DC58" s="73" t="s">
        <v>420</v>
      </c>
      <c r="DD58" s="72">
        <f>134.52-12.76</f>
        <v>121.76</v>
      </c>
      <c r="DF58" s="73" t="s">
        <v>64</v>
      </c>
      <c r="DG58" s="72">
        <v>9.8800000000000008</v>
      </c>
      <c r="DH58" s="119"/>
      <c r="DI58" s="118"/>
      <c r="DJ58" s="119"/>
      <c r="DL58" s="40"/>
      <c r="DM58" s="101"/>
      <c r="DN58" s="212" t="s">
        <v>93</v>
      </c>
      <c r="DO58" s="213"/>
      <c r="DP58" s="213"/>
      <c r="DQ58" s="213"/>
      <c r="DR58" s="213"/>
      <c r="DS58" s="214"/>
      <c r="DT58" s="215" t="s">
        <v>94</v>
      </c>
      <c r="DU58" s="216"/>
      <c r="DV58" s="216"/>
      <c r="DW58" s="216"/>
      <c r="DX58" s="217"/>
      <c r="DY58" s="101"/>
      <c r="DZ58" s="101"/>
      <c r="EA58" s="101"/>
      <c r="ED58" s="200" t="s">
        <v>452</v>
      </c>
      <c r="EE58" s="200" t="s">
        <v>453</v>
      </c>
      <c r="EF58" s="200" t="s">
        <v>454</v>
      </c>
      <c r="EG58" s="200" t="s">
        <v>509</v>
      </c>
      <c r="EH58" s="200" t="s">
        <v>455</v>
      </c>
      <c r="EI58" s="201" t="s">
        <v>456</v>
      </c>
      <c r="EJ58" s="200" t="s">
        <v>457</v>
      </c>
      <c r="EK58" s="197" t="s">
        <v>463</v>
      </c>
      <c r="EL58" s="84" t="s">
        <v>464</v>
      </c>
      <c r="EM58" s="84" t="s">
        <v>465</v>
      </c>
      <c r="EN58" s="84" t="s">
        <v>466</v>
      </c>
      <c r="EO58" s="295" t="s">
        <v>467</v>
      </c>
      <c r="EP58" s="295"/>
      <c r="EQ58" s="295" t="s">
        <v>580</v>
      </c>
      <c r="ER58" s="295"/>
    </row>
    <row r="59" spans="2:148" ht="21.6" customHeight="1" x14ac:dyDescent="0.25">
      <c r="C59"/>
      <c r="D59" s="50"/>
      <c r="H59" t="s">
        <v>4</v>
      </c>
      <c r="I59" s="55">
        <f>-84-369.81</f>
        <v>-453.81</v>
      </c>
      <c r="L59" s="1" t="s">
        <v>146</v>
      </c>
      <c r="M59" s="2">
        <f>46.73</f>
        <v>46.73</v>
      </c>
      <c r="N59" s="77"/>
      <c r="AI59" t="s">
        <v>68</v>
      </c>
      <c r="AL59" t="s">
        <v>68</v>
      </c>
      <c r="AO59" t="s">
        <v>68</v>
      </c>
      <c r="AR59" t="s">
        <v>68</v>
      </c>
      <c r="AU59" t="s">
        <v>68</v>
      </c>
      <c r="AX59" t="s">
        <v>68</v>
      </c>
      <c r="BA59" t="s">
        <v>68</v>
      </c>
      <c r="BD59" t="s">
        <v>68</v>
      </c>
      <c r="BG59" t="s">
        <v>68</v>
      </c>
      <c r="BJ59" t="s">
        <v>68</v>
      </c>
      <c r="BM59" t="s">
        <v>68</v>
      </c>
      <c r="BP59" t="s">
        <v>68</v>
      </c>
      <c r="BS59" t="s">
        <v>68</v>
      </c>
      <c r="BV59" t="s">
        <v>68</v>
      </c>
      <c r="BY59" t="s">
        <v>68</v>
      </c>
      <c r="CB59" t="s">
        <v>68</v>
      </c>
      <c r="CE59" t="s">
        <v>68</v>
      </c>
      <c r="CH59" t="s">
        <v>68</v>
      </c>
      <c r="CK59" t="s">
        <v>68</v>
      </c>
      <c r="CN59" t="s">
        <v>68</v>
      </c>
      <c r="CQ59" t="s">
        <v>68</v>
      </c>
      <c r="CT59" t="s">
        <v>68</v>
      </c>
      <c r="CW59" t="s">
        <v>68</v>
      </c>
      <c r="CZ59" t="s">
        <v>68</v>
      </c>
      <c r="DC59" t="s">
        <v>68</v>
      </c>
      <c r="DF59" t="s">
        <v>68</v>
      </c>
      <c r="DG59" s="55">
        <v>8.51</v>
      </c>
      <c r="DI59"/>
      <c r="DL59" s="80" t="s">
        <v>95</v>
      </c>
      <c r="DM59" s="81" t="s">
        <v>96</v>
      </c>
      <c r="DN59" s="82" t="s">
        <v>97</v>
      </c>
      <c r="DO59" s="82" t="s">
        <v>98</v>
      </c>
      <c r="DP59" s="82" t="s">
        <v>99</v>
      </c>
      <c r="DQ59" s="82" t="s">
        <v>100</v>
      </c>
      <c r="DR59" s="82" t="s">
        <v>101</v>
      </c>
      <c r="DS59" s="82" t="s">
        <v>102</v>
      </c>
      <c r="DT59" s="13" t="s">
        <v>103</v>
      </c>
      <c r="DU59" s="14" t="s">
        <v>104</v>
      </c>
      <c r="DV59" s="83" t="s">
        <v>105</v>
      </c>
      <c r="DW59" s="15" t="s">
        <v>106</v>
      </c>
      <c r="DX59" s="84" t="s">
        <v>107</v>
      </c>
      <c r="DY59" s="85" t="s">
        <v>108</v>
      </c>
      <c r="DZ59" s="80" t="s">
        <v>109</v>
      </c>
      <c r="EA59" s="80" t="s">
        <v>110</v>
      </c>
      <c r="EB59" s="182" t="s">
        <v>460</v>
      </c>
      <c r="EC59" s="182" t="s">
        <v>462</v>
      </c>
      <c r="ED59" s="200"/>
      <c r="EE59" s="200"/>
      <c r="EF59" s="200"/>
      <c r="EG59" s="200"/>
      <c r="EH59" s="200"/>
      <c r="EI59" s="202"/>
      <c r="EJ59" s="201"/>
      <c r="EK59" s="201"/>
      <c r="EL59" s="261"/>
      <c r="EM59" s="261"/>
      <c r="EN59" s="261"/>
      <c r="EO59" s="197" t="s">
        <v>468</v>
      </c>
      <c r="EP59" s="197" t="s">
        <v>469</v>
      </c>
      <c r="EQ59" s="259" t="s">
        <v>468</v>
      </c>
      <c r="ER59" s="259" t="s">
        <v>469</v>
      </c>
    </row>
    <row r="60" spans="2:148" s="101" customFormat="1" ht="25.15" customHeight="1" x14ac:dyDescent="0.25">
      <c r="C60" s="226"/>
      <c r="D60" s="50"/>
      <c r="E60" s="101" t="s">
        <v>4</v>
      </c>
      <c r="F60" s="40">
        <f>-344.87-1311.93</f>
        <v>-1656.8000000000002</v>
      </c>
      <c r="I60" s="40"/>
      <c r="K60" s="223"/>
      <c r="L60" s="224" t="s">
        <v>6</v>
      </c>
      <c r="M60" s="225">
        <v>47.68</v>
      </c>
      <c r="N60" s="47"/>
      <c r="AC60" s="66"/>
      <c r="AD60" s="71"/>
      <c r="AG60" s="40"/>
      <c r="AJ60" s="40"/>
      <c r="AM60" s="40"/>
      <c r="AP60" s="40"/>
      <c r="AS60" s="40"/>
      <c r="AV60" s="40"/>
      <c r="AY60" s="40"/>
      <c r="BB60" s="40"/>
      <c r="BE60" s="40"/>
      <c r="BH60" s="40"/>
      <c r="BK60" s="40"/>
      <c r="BN60" s="40"/>
      <c r="BQ60" s="40"/>
      <c r="BT60" s="40"/>
      <c r="BW60" s="40"/>
      <c r="BZ60" s="40"/>
      <c r="CC60" s="40"/>
      <c r="CF60" s="40"/>
      <c r="CI60" s="40"/>
      <c r="CL60" s="40"/>
      <c r="CO60" s="40"/>
      <c r="CR60" s="40"/>
      <c r="CU60" s="40"/>
      <c r="CX60" s="40"/>
      <c r="DA60" s="40"/>
      <c r="DD60" s="40"/>
      <c r="DF60" s="101" t="s">
        <v>68</v>
      </c>
      <c r="DG60" s="40">
        <v>4.92</v>
      </c>
      <c r="DH60" s="40"/>
      <c r="DJ60" s="40"/>
      <c r="DL60" s="54"/>
      <c r="DM60" s="39" t="s">
        <v>19</v>
      </c>
      <c r="DN60" s="87"/>
      <c r="DO60" s="87"/>
      <c r="DP60" s="87"/>
      <c r="DQ60" s="87"/>
      <c r="DR60" s="87"/>
      <c r="DS60" s="87"/>
      <c r="DT60" s="154"/>
      <c r="DU60" s="180"/>
      <c r="DV60" s="92"/>
      <c r="DW60" s="170"/>
      <c r="DX60" s="69"/>
      <c r="DY60" s="94"/>
      <c r="DZ60" s="69"/>
      <c r="EA60" s="69"/>
      <c r="EB60" s="183"/>
      <c r="EC60" s="95"/>
      <c r="ED60" s="203">
        <v>1</v>
      </c>
      <c r="EE60" s="54" t="s">
        <v>458</v>
      </c>
      <c r="EF60" s="204" t="s">
        <v>19</v>
      </c>
      <c r="EG60" s="86" t="s">
        <v>470</v>
      </c>
      <c r="EH60" s="54"/>
      <c r="EI60" s="54">
        <v>146.11000000000001</v>
      </c>
      <c r="EJ60" s="54"/>
      <c r="EK60" s="54"/>
      <c r="EL60" s="176">
        <v>50.279610389610383</v>
      </c>
      <c r="EM60" s="176">
        <f>EI60+EL60</f>
        <v>196.3896103896104</v>
      </c>
      <c r="EN60" s="176">
        <v>45.609980804627924</v>
      </c>
      <c r="EO60" s="123">
        <f>EM60*EI184</f>
        <v>2.6782489557226414</v>
      </c>
      <c r="EP60" s="123">
        <v>2</v>
      </c>
      <c r="EQ60" s="123">
        <f>EM60*EL176</f>
        <v>2.6201360066833765</v>
      </c>
      <c r="ER60" s="123">
        <f>EM60*EL177</f>
        <v>3.1633657477025912</v>
      </c>
    </row>
    <row r="61" spans="2:148" s="101" customFormat="1" ht="25.15" customHeight="1" x14ac:dyDescent="0.25">
      <c r="E61" s="31" t="s">
        <v>14</v>
      </c>
      <c r="F61" s="96">
        <f>-(F9+F11+F12+F14+F15+F17+F19+F20+F22+F24+F26+F28+F30+F32+F33+F34+F35+F36+F37+F39+F41+F43+F45+F47+F49+F51)</f>
        <v>-1493.42</v>
      </c>
      <c r="H61" s="47" t="s">
        <v>12</v>
      </c>
      <c r="I61" s="95">
        <f>SUM(I58:I60)</f>
        <v>23397.989999999998</v>
      </c>
      <c r="K61" s="223"/>
      <c r="L61" s="224" t="s">
        <v>4</v>
      </c>
      <c r="M61" s="225">
        <v>-2.4</v>
      </c>
      <c r="N61" s="47"/>
      <c r="AD61" s="40"/>
      <c r="AF61" s="47"/>
      <c r="AG61" s="100"/>
      <c r="AI61" s="47" t="s">
        <v>235</v>
      </c>
      <c r="AJ61" s="100">
        <f>AJ56+AJ58</f>
        <v>243.52</v>
      </c>
      <c r="AL61" s="47" t="s">
        <v>235</v>
      </c>
      <c r="AM61" s="100">
        <f>AM56+AM58</f>
        <v>243.52</v>
      </c>
      <c r="AO61" s="47" t="s">
        <v>235</v>
      </c>
      <c r="AP61" s="100">
        <f>AP56+AP58</f>
        <v>243.52</v>
      </c>
      <c r="AR61" s="47" t="s">
        <v>235</v>
      </c>
      <c r="AS61" s="100">
        <f>AS56+AS58</f>
        <v>243.52</v>
      </c>
      <c r="AU61" s="47" t="s">
        <v>235</v>
      </c>
      <c r="AV61" s="100">
        <f>AV56+AV58</f>
        <v>243.52</v>
      </c>
      <c r="AX61" s="47" t="s">
        <v>235</v>
      </c>
      <c r="AY61" s="100">
        <f>AY56+AY58</f>
        <v>243.52</v>
      </c>
      <c r="BA61" s="47" t="s">
        <v>235</v>
      </c>
      <c r="BB61" s="100">
        <f>BB56+BB58</f>
        <v>243.52</v>
      </c>
      <c r="BD61" s="47" t="s">
        <v>235</v>
      </c>
      <c r="BE61" s="100">
        <f>BE56+BE58</f>
        <v>243.52</v>
      </c>
      <c r="BG61" s="47" t="s">
        <v>235</v>
      </c>
      <c r="BH61" s="100">
        <f>BH56+BH58</f>
        <v>243.52</v>
      </c>
      <c r="BJ61" s="47" t="s">
        <v>235</v>
      </c>
      <c r="BK61" s="100">
        <f>BK56+BK58</f>
        <v>243.52</v>
      </c>
      <c r="BM61" s="47" t="s">
        <v>235</v>
      </c>
      <c r="BN61" s="100">
        <f>BN56+BN58</f>
        <v>243.52</v>
      </c>
      <c r="BP61" s="47" t="s">
        <v>235</v>
      </c>
      <c r="BQ61" s="100">
        <f>BQ56+BQ58</f>
        <v>243.52</v>
      </c>
      <c r="BS61" s="47" t="s">
        <v>235</v>
      </c>
      <c r="BT61" s="100">
        <f>BT56+BT58</f>
        <v>243.52</v>
      </c>
      <c r="BV61" s="47" t="s">
        <v>235</v>
      </c>
      <c r="BW61" s="100">
        <f>BW56+BW58</f>
        <v>243.52</v>
      </c>
      <c r="BY61" s="47" t="s">
        <v>235</v>
      </c>
      <c r="BZ61" s="100">
        <f>BZ56+BZ58</f>
        <v>243.52</v>
      </c>
      <c r="CB61" s="47" t="s">
        <v>235</v>
      </c>
      <c r="CC61" s="100">
        <f>CC56+CC58</f>
        <v>243.52</v>
      </c>
      <c r="CE61" s="47" t="s">
        <v>235</v>
      </c>
      <c r="CF61" s="100">
        <f>CF56+CF58</f>
        <v>243.52</v>
      </c>
      <c r="CH61" s="47" t="s">
        <v>235</v>
      </c>
      <c r="CI61" s="100">
        <f>CI56+CI58</f>
        <v>243.52</v>
      </c>
      <c r="CK61" s="47" t="s">
        <v>235</v>
      </c>
      <c r="CL61" s="100">
        <f>CL56+CL58</f>
        <v>243.52</v>
      </c>
      <c r="CN61" s="47" t="s">
        <v>235</v>
      </c>
      <c r="CO61" s="100">
        <f>CO56+CO58</f>
        <v>243.52</v>
      </c>
      <c r="CQ61" s="47" t="s">
        <v>235</v>
      </c>
      <c r="CR61" s="100">
        <f>CR56+CR58</f>
        <v>243.52</v>
      </c>
      <c r="CT61" s="47" t="s">
        <v>235</v>
      </c>
      <c r="CU61" s="100">
        <f>CU56+CU58</f>
        <v>243.52</v>
      </c>
      <c r="CW61" s="47" t="s">
        <v>235</v>
      </c>
      <c r="CX61" s="100">
        <f>CX56+CX58</f>
        <v>243.52</v>
      </c>
      <c r="CZ61" s="47" t="s">
        <v>235</v>
      </c>
      <c r="DA61" s="100">
        <f>DA56+DA58</f>
        <v>243.52</v>
      </c>
      <c r="DC61" s="47" t="s">
        <v>235</v>
      </c>
      <c r="DD61" s="100">
        <f>DD56+DD58</f>
        <v>243.52</v>
      </c>
      <c r="DF61" s="73" t="s">
        <v>64</v>
      </c>
      <c r="DG61" s="72">
        <v>5.68</v>
      </c>
      <c r="DH61" s="119"/>
      <c r="DI61" s="118"/>
      <c r="DJ61" s="119"/>
      <c r="DL61" s="54">
        <v>1</v>
      </c>
      <c r="DM61" s="86" t="s">
        <v>429</v>
      </c>
      <c r="DN61" s="91">
        <f>AD64</f>
        <v>501.82</v>
      </c>
      <c r="DO61" s="97" t="s">
        <v>258</v>
      </c>
      <c r="DP61" s="91">
        <f>AD54</f>
        <v>0</v>
      </c>
      <c r="DQ61" s="91">
        <v>0</v>
      </c>
      <c r="DR61" s="91">
        <f>AD41</f>
        <v>0</v>
      </c>
      <c r="DS61" s="91">
        <f>DN61+DP61+DR61</f>
        <v>501.82</v>
      </c>
      <c r="DT61" s="19" t="e">
        <f>#REF!</f>
        <v>#REF!</v>
      </c>
      <c r="DU61" s="209" t="s">
        <v>258</v>
      </c>
      <c r="DV61" s="209" t="s">
        <v>258</v>
      </c>
      <c r="DW61" s="209" t="s">
        <v>258</v>
      </c>
      <c r="DX61" s="93" t="e">
        <f>DT61</f>
        <v>#REF!</v>
      </c>
      <c r="DY61" s="94" t="e">
        <f>DX61/0.75*0.25</f>
        <v>#REF!</v>
      </c>
      <c r="DZ61" s="93" t="e">
        <f>DX61+DY61</f>
        <v>#REF!</v>
      </c>
      <c r="EA61" s="207" t="e">
        <f>ROUND(DZ61*10.764/1,0)*1</f>
        <v>#REF!</v>
      </c>
      <c r="EB61" s="184" t="e">
        <f>(EA61*$ED$54)/$EC$54</f>
        <v>#REF!</v>
      </c>
      <c r="EC61" s="96" t="e">
        <f>EB61/10.764</f>
        <v>#REF!</v>
      </c>
      <c r="ED61" s="54">
        <f>ED60+1</f>
        <v>2</v>
      </c>
      <c r="EE61" s="54" t="s">
        <v>458</v>
      </c>
      <c r="EF61" s="204" t="s">
        <v>19</v>
      </c>
      <c r="EG61" s="86" t="s">
        <v>471</v>
      </c>
      <c r="EH61" s="54"/>
      <c r="EI61" s="54">
        <v>8.06</v>
      </c>
      <c r="EJ61" s="54"/>
      <c r="EK61" s="54"/>
      <c r="EL61" s="176">
        <v>5.3166233766233777</v>
      </c>
      <c r="EM61" s="176">
        <f t="shared" ref="EM61:EM113" si="15">EI61+EL61</f>
        <v>13.376623376623378</v>
      </c>
      <c r="EN61" s="176">
        <v>3.1068293452537468</v>
      </c>
      <c r="EO61" s="123">
        <f>EM61*EI184</f>
        <v>0.18242272347535518</v>
      </c>
      <c r="EP61" s="123">
        <v>1</v>
      </c>
      <c r="EQ61" s="123">
        <f>EM61*EL176</f>
        <v>0.17846449456975783</v>
      </c>
      <c r="ER61" s="123">
        <f>EM61*EL178</f>
        <v>0</v>
      </c>
    </row>
    <row r="62" spans="2:148" s="101" customFormat="1" ht="25.15" customHeight="1" x14ac:dyDescent="0.25">
      <c r="D62" s="47"/>
      <c r="E62" s="47" t="s">
        <v>12</v>
      </c>
      <c r="F62" s="127">
        <f>SUM(F60:F61)</f>
        <v>-3150.2200000000003</v>
      </c>
      <c r="I62" s="40"/>
      <c r="K62" s="223"/>
      <c r="L62" s="224" t="s">
        <v>149</v>
      </c>
      <c r="M62" s="225">
        <v>607.12</v>
      </c>
      <c r="N62" s="47"/>
      <c r="AD62" s="40"/>
      <c r="AG62" s="40"/>
      <c r="AJ62" s="40"/>
      <c r="AM62" s="40"/>
      <c r="AP62" s="40"/>
      <c r="AS62" s="40"/>
      <c r="AV62" s="40"/>
      <c r="AY62" s="40"/>
      <c r="BB62" s="40"/>
      <c r="BE62" s="40"/>
      <c r="BH62" s="40"/>
      <c r="BK62" s="40"/>
      <c r="BN62" s="40"/>
      <c r="BQ62" s="40"/>
      <c r="BT62" s="40"/>
      <c r="BW62" s="40"/>
      <c r="BZ62" s="40"/>
      <c r="CC62" s="40"/>
      <c r="CF62" s="40"/>
      <c r="CI62" s="40"/>
      <c r="CL62" s="40"/>
      <c r="CO62" s="40"/>
      <c r="CR62" s="40"/>
      <c r="CU62" s="40"/>
      <c r="CX62" s="40"/>
      <c r="DA62" s="40"/>
      <c r="DD62" s="40"/>
      <c r="DF62" s="73" t="s">
        <v>73</v>
      </c>
      <c r="DG62" s="72">
        <f>47.55</f>
        <v>47.55</v>
      </c>
      <c r="DH62" s="119"/>
      <c r="DI62" s="118"/>
      <c r="DJ62" s="119"/>
      <c r="DL62" s="54"/>
      <c r="DM62" s="39" t="s">
        <v>12</v>
      </c>
      <c r="DN62" s="91"/>
      <c r="DO62" s="97"/>
      <c r="DP62" s="91"/>
      <c r="DQ62" s="91"/>
      <c r="DR62" s="91"/>
      <c r="DS62" s="91"/>
      <c r="DT62" s="19"/>
      <c r="DU62" s="180"/>
      <c r="DV62" s="92"/>
      <c r="DW62" s="21"/>
      <c r="DX62" s="93"/>
      <c r="DY62" s="94"/>
      <c r="DZ62" s="93"/>
      <c r="EA62" s="156" t="e">
        <f>SUM(EA61:EA61)</f>
        <v>#REF!</v>
      </c>
      <c r="EB62" s="184"/>
      <c r="EC62" s="96">
        <f t="shared" ref="EC62:EC184" si="16">EB62/10.764</f>
        <v>0</v>
      </c>
      <c r="ED62" s="54">
        <f t="shared" ref="ED62:ED118" si="17">ED61+1</f>
        <v>3</v>
      </c>
      <c r="EE62" s="252" t="s">
        <v>458</v>
      </c>
      <c r="EF62" s="204" t="s">
        <v>332</v>
      </c>
      <c r="EG62" s="253" t="s">
        <v>472</v>
      </c>
      <c r="EH62" s="252"/>
      <c r="EI62" s="176">
        <v>673.51</v>
      </c>
      <c r="EJ62" s="54"/>
      <c r="EK62" s="54"/>
      <c r="EL62" s="176">
        <v>404.02246753246732</v>
      </c>
      <c r="EM62" s="176">
        <f t="shared" si="15"/>
        <v>1077.5324675324673</v>
      </c>
      <c r="EN62" s="176">
        <v>250.25078871943199</v>
      </c>
      <c r="EO62" s="123">
        <f>EM62*EI184</f>
        <v>14.694770258980789</v>
      </c>
      <c r="EP62" s="123">
        <v>2</v>
      </c>
      <c r="EQ62" s="123">
        <f>EM62*EL176</f>
        <v>14.375921470342528</v>
      </c>
      <c r="ER62" s="123">
        <f>EM62*EL177</f>
        <v>17.35646449456976</v>
      </c>
    </row>
    <row r="63" spans="2:148" s="101" customFormat="1" ht="25.15" customHeight="1" x14ac:dyDescent="0.25">
      <c r="F63" s="40"/>
      <c r="I63" s="40"/>
      <c r="K63" s="223"/>
      <c r="L63" s="224" t="s">
        <v>4</v>
      </c>
      <c r="M63" s="225">
        <v>-8.82</v>
      </c>
      <c r="N63" s="47"/>
      <c r="AD63" s="40"/>
      <c r="AG63" s="40"/>
      <c r="AJ63" s="40"/>
      <c r="AM63" s="40"/>
      <c r="AP63" s="40"/>
      <c r="AS63" s="40"/>
      <c r="AV63" s="40"/>
      <c r="AY63" s="40"/>
      <c r="BB63" s="40"/>
      <c r="BE63" s="40"/>
      <c r="BH63" s="40"/>
      <c r="BK63" s="40"/>
      <c r="BN63" s="40"/>
      <c r="BQ63" s="40"/>
      <c r="BT63" s="40"/>
      <c r="BW63" s="40"/>
      <c r="BZ63" s="40"/>
      <c r="CC63" s="40"/>
      <c r="CF63" s="40"/>
      <c r="CI63" s="40"/>
      <c r="CL63" s="40"/>
      <c r="CO63" s="40"/>
      <c r="CR63" s="40"/>
      <c r="CU63" s="40"/>
      <c r="CX63" s="40"/>
      <c r="DA63" s="40"/>
      <c r="DD63" s="40"/>
      <c r="DF63" s="101" t="s">
        <v>68</v>
      </c>
      <c r="DG63" s="96">
        <v>42</v>
      </c>
      <c r="DH63" s="96"/>
      <c r="DJ63" s="96"/>
      <c r="DL63" s="54"/>
      <c r="DM63" s="39" t="s">
        <v>332</v>
      </c>
      <c r="DN63" s="91"/>
      <c r="DO63" s="91"/>
      <c r="DP63" s="91"/>
      <c r="DQ63" s="91"/>
      <c r="DR63" s="91"/>
      <c r="DS63" s="91"/>
      <c r="DT63" s="154"/>
      <c r="DU63" s="180"/>
      <c r="DV63" s="92"/>
      <c r="DW63" s="170"/>
      <c r="DX63" s="93"/>
      <c r="DY63" s="94"/>
      <c r="DZ63" s="93"/>
      <c r="EA63" s="93"/>
      <c r="EB63" s="184"/>
      <c r="EC63" s="96">
        <f t="shared" si="16"/>
        <v>0</v>
      </c>
      <c r="ED63" s="54">
        <f t="shared" si="17"/>
        <v>4</v>
      </c>
      <c r="EE63" s="54" t="s">
        <v>458</v>
      </c>
      <c r="EF63" s="204" t="s">
        <v>332</v>
      </c>
      <c r="EG63" s="188" t="s">
        <v>473</v>
      </c>
      <c r="EH63" s="54"/>
      <c r="EI63" s="93">
        <v>650.63</v>
      </c>
      <c r="EJ63" s="54"/>
      <c r="EK63" s="54"/>
      <c r="EL63" s="176">
        <v>407.53883116883105</v>
      </c>
      <c r="EM63" s="176">
        <f t="shared" si="15"/>
        <v>1058.168831168831</v>
      </c>
      <c r="EN63" s="176">
        <v>245.74157112805682</v>
      </c>
      <c r="EO63" s="123">
        <f>EM63*EI184</f>
        <v>14.430700083542195</v>
      </c>
      <c r="EP63" s="123">
        <f>EM63*EI185</f>
        <v>1.4702977443609029</v>
      </c>
      <c r="EQ63" s="123">
        <f>EM63*EL176</f>
        <v>14.117581119465335</v>
      </c>
      <c r="ER63" s="123">
        <f>EM63*EL177</f>
        <v>17.044562740183796</v>
      </c>
    </row>
    <row r="64" spans="2:148" s="101" customFormat="1" ht="25.15" customHeight="1" x14ac:dyDescent="0.25">
      <c r="F64" s="40"/>
      <c r="I64" s="40"/>
      <c r="K64" s="223"/>
      <c r="L64" s="224" t="s">
        <v>7</v>
      </c>
      <c r="M64" s="225">
        <v>47.99</v>
      </c>
      <c r="N64" s="47"/>
      <c r="AC64" s="101" t="s">
        <v>68</v>
      </c>
      <c r="AD64" s="40">
        <v>501.82</v>
      </c>
      <c r="AF64" s="101" t="s">
        <v>68</v>
      </c>
      <c r="AG64" s="40">
        <v>251.27</v>
      </c>
      <c r="AI64" s="101" t="s">
        <v>68</v>
      </c>
      <c r="AJ64" s="40">
        <v>0</v>
      </c>
      <c r="AL64" s="101" t="s">
        <v>68</v>
      </c>
      <c r="AM64" s="40">
        <v>591.16999999999996</v>
      </c>
      <c r="AO64" s="101" t="s">
        <v>68</v>
      </c>
      <c r="AP64" s="40">
        <v>265.54000000000002</v>
      </c>
      <c r="AR64" s="101" t="s">
        <v>68</v>
      </c>
      <c r="AS64" s="40">
        <v>587.07000000000005</v>
      </c>
      <c r="AU64" s="101" t="s">
        <v>68</v>
      </c>
      <c r="AV64" s="40">
        <v>265.54000000000002</v>
      </c>
      <c r="AX64" s="101" t="s">
        <v>68</v>
      </c>
      <c r="AY64" s="40">
        <v>591.16999999999996</v>
      </c>
      <c r="BA64" s="101" t="s">
        <v>68</v>
      </c>
      <c r="BB64" s="40">
        <v>265.54000000000002</v>
      </c>
      <c r="BD64" s="101" t="s">
        <v>68</v>
      </c>
      <c r="BE64" s="40">
        <v>587.07000000000005</v>
      </c>
      <c r="BG64" s="101" t="s">
        <v>68</v>
      </c>
      <c r="BH64" s="40">
        <v>585.88</v>
      </c>
      <c r="BJ64" s="101" t="s">
        <v>68</v>
      </c>
      <c r="BK64" s="40"/>
      <c r="BM64" s="101" t="s">
        <v>68</v>
      </c>
      <c r="BN64" s="40">
        <v>642.53</v>
      </c>
      <c r="BP64" s="101" t="s">
        <v>68</v>
      </c>
      <c r="BQ64" s="40">
        <v>638.42999999999995</v>
      </c>
      <c r="BS64" s="101" t="s">
        <v>68</v>
      </c>
      <c r="BT64" s="40">
        <v>642.53</v>
      </c>
      <c r="BV64" s="101" t="s">
        <v>68</v>
      </c>
      <c r="BW64" s="40">
        <v>642.53</v>
      </c>
      <c r="BY64" s="101" t="s">
        <v>68</v>
      </c>
      <c r="BZ64" s="40">
        <v>642.53</v>
      </c>
      <c r="CB64" s="101" t="s">
        <v>68</v>
      </c>
      <c r="CC64" s="40">
        <v>638.42999999999995</v>
      </c>
      <c r="CE64" s="101" t="s">
        <v>68</v>
      </c>
      <c r="CF64" s="40">
        <v>642.53</v>
      </c>
      <c r="CH64" s="101" t="s">
        <v>68</v>
      </c>
      <c r="CI64" s="40">
        <v>642.53</v>
      </c>
      <c r="CK64" s="101" t="s">
        <v>68</v>
      </c>
      <c r="CL64" s="40">
        <v>686.91</v>
      </c>
      <c r="CN64" s="101" t="s">
        <v>68</v>
      </c>
      <c r="CO64" s="40">
        <v>679.87</v>
      </c>
      <c r="CQ64" s="101" t="s">
        <v>68</v>
      </c>
      <c r="CR64" s="40">
        <v>743.55</v>
      </c>
      <c r="CT64" s="101" t="s">
        <v>68</v>
      </c>
      <c r="CU64" s="40">
        <v>743.55</v>
      </c>
      <c r="CW64" s="101" t="s">
        <v>68</v>
      </c>
      <c r="CX64" s="40">
        <v>739.46</v>
      </c>
      <c r="CZ64" s="101" t="s">
        <v>68</v>
      </c>
      <c r="DA64" s="40">
        <v>743.55</v>
      </c>
      <c r="DC64" s="101" t="s">
        <v>68</v>
      </c>
      <c r="DD64" s="40">
        <v>743.55</v>
      </c>
      <c r="DG64" s="40"/>
      <c r="DH64" s="40"/>
      <c r="DJ64" s="40"/>
      <c r="DL64" s="54">
        <v>4</v>
      </c>
      <c r="DM64" s="86" t="s">
        <v>431</v>
      </c>
      <c r="DN64" s="54">
        <v>261.27</v>
      </c>
      <c r="DO64" s="97" t="s">
        <v>258</v>
      </c>
      <c r="DP64" s="97" t="s">
        <v>258</v>
      </c>
      <c r="DQ64" s="97" t="s">
        <v>258</v>
      </c>
      <c r="DR64" s="97" t="s">
        <v>258</v>
      </c>
      <c r="DS64" s="54">
        <f>DN64</f>
        <v>261.27</v>
      </c>
      <c r="DT64" s="154">
        <f>AG65</f>
        <v>274.94</v>
      </c>
      <c r="DU64" s="218"/>
      <c r="DV64" s="218"/>
      <c r="DW64" s="169">
        <v>0</v>
      </c>
      <c r="DX64" s="93">
        <f t="shared" ref="DX64:DX66" si="18">DT64+DW64</f>
        <v>274.94</v>
      </c>
      <c r="DY64" s="94">
        <f>DX64/0.75*0.25</f>
        <v>91.646666666666661</v>
      </c>
      <c r="DZ64" s="93">
        <f>DX64+DY64</f>
        <v>366.58666666666664</v>
      </c>
      <c r="EA64" s="207">
        <f>ROUND(DZ64*10.764/1,0)*1</f>
        <v>3946</v>
      </c>
      <c r="EB64" s="184" t="e">
        <f t="shared" ref="EB64:EB66" si="19">(EA64*$ED$54)/$EC$54</f>
        <v>#REF!</v>
      </c>
      <c r="EC64" s="96" t="e">
        <f t="shared" si="16"/>
        <v>#REF!</v>
      </c>
      <c r="ED64" s="54">
        <f t="shared" si="17"/>
        <v>5</v>
      </c>
      <c r="EE64" s="54" t="s">
        <v>458</v>
      </c>
      <c r="EF64" s="54" t="s">
        <v>582</v>
      </c>
      <c r="EG64" s="188" t="s">
        <v>474</v>
      </c>
      <c r="EH64" s="54"/>
      <c r="EI64" s="93">
        <v>594.63</v>
      </c>
      <c r="EJ64" s="54"/>
      <c r="EK64" s="54"/>
      <c r="EL64" s="176">
        <v>275.45831168831182</v>
      </c>
      <c r="EM64" s="176">
        <f t="shared" si="15"/>
        <v>870.08831168831182</v>
      </c>
      <c r="EN64" s="176">
        <v>202.07335866421246</v>
      </c>
      <c r="EO64" s="123">
        <f>EM64*EI184</f>
        <v>11.865765747702598</v>
      </c>
      <c r="EP64" s="123">
        <f>EM64*EI185</f>
        <v>1.208964812030076</v>
      </c>
      <c r="EQ64" s="123">
        <f>EM64*EL176</f>
        <v>11.608301019214711</v>
      </c>
      <c r="ER64" s="123">
        <f>EM64*EL177</f>
        <v>14.015036524644954</v>
      </c>
    </row>
    <row r="65" spans="6:148" s="101" customFormat="1" ht="25.15" customHeight="1" x14ac:dyDescent="0.25">
      <c r="F65" s="40"/>
      <c r="I65" s="40"/>
      <c r="K65" s="223"/>
      <c r="L65" s="224" t="s">
        <v>4</v>
      </c>
      <c r="M65" s="227">
        <v>-2.4</v>
      </c>
      <c r="N65" s="47"/>
      <c r="AC65" s="228" t="s">
        <v>430</v>
      </c>
      <c r="AD65" s="128">
        <f>532.13-0.09</f>
        <v>532.04</v>
      </c>
      <c r="AF65" s="229" t="s">
        <v>431</v>
      </c>
      <c r="AG65" s="159">
        <v>274.94</v>
      </c>
      <c r="AI65" s="228" t="s">
        <v>231</v>
      </c>
      <c r="AJ65" s="230">
        <v>1118.49</v>
      </c>
      <c r="AL65" s="228" t="s">
        <v>161</v>
      </c>
      <c r="AM65" s="128">
        <v>644.02</v>
      </c>
      <c r="AO65" s="228" t="s">
        <v>259</v>
      </c>
      <c r="AP65" s="128">
        <v>614.75</v>
      </c>
      <c r="AR65" s="228" t="s">
        <v>261</v>
      </c>
      <c r="AS65" s="128">
        <v>639.58000000000004</v>
      </c>
      <c r="AU65" s="228" t="s">
        <v>269</v>
      </c>
      <c r="AV65" s="128">
        <v>614.75</v>
      </c>
      <c r="AX65" s="228" t="s">
        <v>263</v>
      </c>
      <c r="AY65" s="128">
        <v>644.02</v>
      </c>
      <c r="BA65" s="228" t="s">
        <v>266</v>
      </c>
      <c r="BB65" s="128">
        <v>614.75</v>
      </c>
      <c r="BD65" s="228" t="s">
        <v>272</v>
      </c>
      <c r="BE65" s="128">
        <v>639.58000000000004</v>
      </c>
      <c r="BG65" s="228" t="s">
        <v>280</v>
      </c>
      <c r="BH65" s="128">
        <v>614.72</v>
      </c>
      <c r="BJ65" s="228" t="s">
        <v>289</v>
      </c>
      <c r="BK65" s="128">
        <f>614.72+29.25</f>
        <v>643.97</v>
      </c>
      <c r="BM65" s="228" t="s">
        <v>284</v>
      </c>
      <c r="BN65" s="128">
        <v>614.73</v>
      </c>
      <c r="BP65" s="228" t="s">
        <v>286</v>
      </c>
      <c r="BQ65" s="167">
        <f>610.3+29.27</f>
        <v>639.56999999999994</v>
      </c>
      <c r="BS65" s="228" t="s">
        <v>293</v>
      </c>
      <c r="BT65" s="128">
        <v>614.73</v>
      </c>
      <c r="BV65" s="228" t="s">
        <v>295</v>
      </c>
      <c r="BW65" s="167">
        <f>614.73+29.27</f>
        <v>644</v>
      </c>
      <c r="BY65" s="228" t="s">
        <v>276</v>
      </c>
      <c r="BZ65" s="128">
        <v>614.73</v>
      </c>
      <c r="CB65" s="228" t="s">
        <v>301</v>
      </c>
      <c r="CC65" s="167">
        <f>610.3+29.27</f>
        <v>639.56999999999994</v>
      </c>
      <c r="CE65" s="228" t="s">
        <v>297</v>
      </c>
      <c r="CF65" s="128">
        <v>614.73</v>
      </c>
      <c r="CH65" s="228" t="s">
        <v>305</v>
      </c>
      <c r="CI65" s="167">
        <f>614.73+29.27</f>
        <v>644</v>
      </c>
      <c r="CK65" s="228" t="s">
        <v>307</v>
      </c>
      <c r="CL65" s="128">
        <v>589.34</v>
      </c>
      <c r="CN65" s="228" t="s">
        <v>309</v>
      </c>
      <c r="CO65" s="128">
        <v>584.91999999999996</v>
      </c>
      <c r="CQ65" s="228" t="s">
        <v>313</v>
      </c>
      <c r="CR65" s="128">
        <v>589.34</v>
      </c>
      <c r="CT65" s="228" t="s">
        <v>315</v>
      </c>
      <c r="CU65" s="128">
        <v>589.34</v>
      </c>
      <c r="CW65" s="228" t="s">
        <v>311</v>
      </c>
      <c r="CX65" s="128">
        <v>584.91999999999996</v>
      </c>
      <c r="CZ65" s="228" t="s">
        <v>317</v>
      </c>
      <c r="DA65" s="128">
        <v>589.34</v>
      </c>
      <c r="DC65" s="228" t="s">
        <v>319</v>
      </c>
      <c r="DD65" s="128">
        <v>589.34</v>
      </c>
      <c r="DF65" s="47" t="s">
        <v>235</v>
      </c>
      <c r="DG65" s="95" t="e">
        <f>DG56+DG58+#REF!+DG61+DG62</f>
        <v>#REF!</v>
      </c>
      <c r="DH65" s="40"/>
      <c r="DJ65" s="40"/>
      <c r="DL65" s="54">
        <v>5</v>
      </c>
      <c r="DM65" s="86" t="s">
        <v>432</v>
      </c>
      <c r="DN65" s="176">
        <v>497.61</v>
      </c>
      <c r="DO65" s="97" t="s">
        <v>258</v>
      </c>
      <c r="DP65" s="97" t="s">
        <v>258</v>
      </c>
      <c r="DQ65" s="97" t="s">
        <v>258</v>
      </c>
      <c r="DR65" s="176">
        <v>33.700000000000003</v>
      </c>
      <c r="DS65" s="176">
        <f>DN65+DR65</f>
        <v>531.31000000000006</v>
      </c>
      <c r="DT65" s="19">
        <f>AG67</f>
        <v>520.23</v>
      </c>
      <c r="DU65" s="218"/>
      <c r="DV65" s="218"/>
      <c r="DW65" s="21">
        <f>AG35</f>
        <v>37.82</v>
      </c>
      <c r="DX65" s="93">
        <f t="shared" si="18"/>
        <v>558.05000000000007</v>
      </c>
      <c r="DY65" s="94">
        <f t="shared" ref="DY65:DY185" si="20">DX65/0.75*0.25</f>
        <v>186.01666666666668</v>
      </c>
      <c r="DZ65" s="93">
        <f t="shared" ref="DZ65:DZ185" si="21">DX65+DY65</f>
        <v>744.06666666666672</v>
      </c>
      <c r="EA65" s="207">
        <f t="shared" ref="EA65:EA66" si="22">ROUND(DZ65*10.764/1,0)*1</f>
        <v>8009</v>
      </c>
      <c r="EB65" s="184" t="e">
        <f t="shared" si="19"/>
        <v>#REF!</v>
      </c>
      <c r="EC65" s="96" t="e">
        <f t="shared" si="16"/>
        <v>#REF!</v>
      </c>
      <c r="ED65" s="54">
        <f t="shared" si="17"/>
        <v>6</v>
      </c>
      <c r="EE65" s="54" t="s">
        <v>458</v>
      </c>
      <c r="EF65" s="54" t="s">
        <v>582</v>
      </c>
      <c r="EG65" s="188" t="s">
        <v>475</v>
      </c>
      <c r="EH65" s="54"/>
      <c r="EI65" s="93">
        <v>429.97</v>
      </c>
      <c r="EJ65" s="54"/>
      <c r="EK65" s="54"/>
      <c r="EL65" s="176">
        <v>235.54688311688301</v>
      </c>
      <c r="EM65" s="176">
        <f t="shared" si="15"/>
        <v>665.51688311688304</v>
      </c>
      <c r="EN65" s="176">
        <v>154.56475992637394</v>
      </c>
      <c r="EO65" s="123">
        <f>EM65*EI184</f>
        <v>9.0759378446115324</v>
      </c>
      <c r="EP65" s="123">
        <f>EM65*EI185</f>
        <v>0.92471819548872214</v>
      </c>
      <c r="EQ65" s="123">
        <f>EM65*EL176</f>
        <v>8.8790071177944885</v>
      </c>
      <c r="ER65" s="123">
        <f>EM65*EL177</f>
        <v>10.719881303258148</v>
      </c>
    </row>
    <row r="66" spans="6:148" s="101" customFormat="1" ht="25.15" customHeight="1" x14ac:dyDescent="0.25">
      <c r="F66" s="40"/>
      <c r="I66" s="40"/>
      <c r="K66" s="223"/>
      <c r="L66" s="224" t="s">
        <v>242</v>
      </c>
      <c r="M66" s="225">
        <v>45.57</v>
      </c>
      <c r="N66" s="47"/>
      <c r="AC66" s="101" t="s">
        <v>68</v>
      </c>
      <c r="AD66" s="40">
        <v>499.62</v>
      </c>
      <c r="AF66" s="101" t="s">
        <v>68</v>
      </c>
      <c r="AG66" s="40">
        <v>97.82</v>
      </c>
      <c r="AI66" s="101" t="s">
        <v>68</v>
      </c>
      <c r="AJ66" s="40">
        <v>0</v>
      </c>
      <c r="AL66" s="101" t="s">
        <v>68</v>
      </c>
      <c r="AM66" s="40">
        <v>600.55999999999995</v>
      </c>
      <c r="AO66" s="101" t="s">
        <v>68</v>
      </c>
      <c r="AP66" s="40">
        <v>577.32000000000005</v>
      </c>
      <c r="AR66" s="101" t="s">
        <v>68</v>
      </c>
      <c r="AS66" s="40">
        <v>570.83000000000004</v>
      </c>
      <c r="AU66" s="101" t="s">
        <v>68</v>
      </c>
      <c r="AV66" s="40">
        <v>577.32000000000005</v>
      </c>
      <c r="AX66" s="101" t="s">
        <v>68</v>
      </c>
      <c r="AY66" s="40">
        <v>600.55999999999995</v>
      </c>
      <c r="BA66" s="101" t="s">
        <v>68</v>
      </c>
      <c r="BB66" s="40">
        <v>577.32000000000005</v>
      </c>
      <c r="BD66" s="101" t="s">
        <v>68</v>
      </c>
      <c r="BE66" s="40">
        <v>570.83000000000004</v>
      </c>
      <c r="BG66" s="101" t="s">
        <v>68</v>
      </c>
      <c r="BH66" s="40">
        <v>574.9</v>
      </c>
      <c r="BJ66" s="101" t="s">
        <v>68</v>
      </c>
      <c r="BK66" s="40">
        <v>600.53</v>
      </c>
      <c r="BM66" s="101" t="s">
        <v>68</v>
      </c>
      <c r="BN66" s="40">
        <v>574.92999999999995</v>
      </c>
      <c r="BP66" s="101" t="s">
        <v>68</v>
      </c>
      <c r="BQ66" s="40">
        <v>570.83000000000004</v>
      </c>
      <c r="BS66" s="101" t="s">
        <v>68</v>
      </c>
      <c r="BT66" s="40">
        <v>574.92999999999995</v>
      </c>
      <c r="BV66" s="101" t="s">
        <v>68</v>
      </c>
      <c r="BW66" s="40">
        <v>600.55999999999995</v>
      </c>
      <c r="BY66" s="101" t="s">
        <v>68</v>
      </c>
      <c r="BZ66" s="40">
        <v>574.92999999999995</v>
      </c>
      <c r="CB66" s="101" t="s">
        <v>68</v>
      </c>
      <c r="CC66" s="40">
        <v>570.83000000000004</v>
      </c>
      <c r="CE66" s="101" t="s">
        <v>68</v>
      </c>
      <c r="CF66" s="40">
        <v>574.92999999999995</v>
      </c>
      <c r="CH66" s="101" t="s">
        <v>68</v>
      </c>
      <c r="CI66" s="40">
        <v>600.55999999999995</v>
      </c>
      <c r="CK66" s="101" t="s">
        <v>68</v>
      </c>
      <c r="CL66" s="40">
        <v>550.89</v>
      </c>
      <c r="CN66" s="101" t="s">
        <v>68</v>
      </c>
      <c r="CO66" s="40">
        <v>546.79</v>
      </c>
      <c r="CQ66" s="101" t="s">
        <v>68</v>
      </c>
      <c r="CR66" s="40">
        <v>550.9</v>
      </c>
      <c r="CT66" s="101" t="s">
        <v>68</v>
      </c>
      <c r="CU66" s="40">
        <v>550.9</v>
      </c>
      <c r="CW66" s="101" t="s">
        <v>68</v>
      </c>
      <c r="CX66" s="40">
        <v>546.79</v>
      </c>
      <c r="CZ66" s="101" t="s">
        <v>68</v>
      </c>
      <c r="DA66" s="40">
        <v>550.9</v>
      </c>
      <c r="DC66" s="101" t="s">
        <v>68</v>
      </c>
      <c r="DD66" s="40">
        <v>550.9</v>
      </c>
      <c r="DF66" s="47" t="s">
        <v>236</v>
      </c>
      <c r="DG66" s="100" t="e">
        <f>DG57+DG59+DG60+#REF!+DG63</f>
        <v>#REF!</v>
      </c>
      <c r="DH66" s="119"/>
      <c r="DI66" s="118"/>
      <c r="DJ66" s="119"/>
      <c r="DL66" s="54">
        <v>6</v>
      </c>
      <c r="DM66" s="90" t="s">
        <v>433</v>
      </c>
      <c r="DN66" s="176">
        <v>497.61</v>
      </c>
      <c r="DO66" s="97" t="s">
        <v>258</v>
      </c>
      <c r="DP66" s="97" t="s">
        <v>258</v>
      </c>
      <c r="DQ66" s="97" t="s">
        <v>258</v>
      </c>
      <c r="DR66" s="93">
        <v>33.700000000000003</v>
      </c>
      <c r="DS66" s="93">
        <f>DN66+DR66</f>
        <v>531.31000000000006</v>
      </c>
      <c r="DT66" s="154" t="e">
        <f>#REF!</f>
        <v>#REF!</v>
      </c>
      <c r="DU66" s="210"/>
      <c r="DV66" s="210"/>
      <c r="DW66" s="170">
        <f>AG37</f>
        <v>37.82</v>
      </c>
      <c r="DX66" s="93" t="e">
        <f t="shared" si="18"/>
        <v>#REF!</v>
      </c>
      <c r="DY66" s="94" t="e">
        <f t="shared" si="20"/>
        <v>#REF!</v>
      </c>
      <c r="DZ66" s="93" t="e">
        <f t="shared" si="21"/>
        <v>#REF!</v>
      </c>
      <c r="EA66" s="207" t="e">
        <f t="shared" si="22"/>
        <v>#REF!</v>
      </c>
      <c r="EB66" s="184" t="e">
        <f t="shared" si="19"/>
        <v>#REF!</v>
      </c>
      <c r="EC66" s="96" t="e">
        <f t="shared" si="16"/>
        <v>#REF!</v>
      </c>
      <c r="ED66" s="54">
        <f t="shared" si="17"/>
        <v>7</v>
      </c>
      <c r="EE66" s="54" t="s">
        <v>458</v>
      </c>
      <c r="EF66" s="54" t="s">
        <v>582</v>
      </c>
      <c r="EG66" s="188" t="s">
        <v>476</v>
      </c>
      <c r="EH66" s="54"/>
      <c r="EI66" s="93">
        <v>430.5</v>
      </c>
      <c r="EJ66" s="54"/>
      <c r="EK66" s="54"/>
      <c r="EL66" s="176">
        <v>229.12077922077924</v>
      </c>
      <c r="EM66" s="176">
        <f t="shared" si="15"/>
        <v>659.62077922077924</v>
      </c>
      <c r="EN66" s="176">
        <v>153.1839468840389</v>
      </c>
      <c r="EO66" s="123">
        <f>EM66*EI184</f>
        <v>8.9955301587301637</v>
      </c>
      <c r="EP66" s="123">
        <f>EM66*EI185</f>
        <v>0.91652571428571472</v>
      </c>
      <c r="EQ66" s="123">
        <f>EM66*EL176</f>
        <v>8.8003441269841307</v>
      </c>
      <c r="ER66" s="123">
        <f>EM66*EL177</f>
        <v>10.62490920634921</v>
      </c>
    </row>
    <row r="67" spans="6:148" s="101" customFormat="1" ht="25.15" customHeight="1" x14ac:dyDescent="0.25">
      <c r="F67" s="40"/>
      <c r="I67" s="40"/>
      <c r="K67" s="223"/>
      <c r="L67" s="224" t="s">
        <v>5</v>
      </c>
      <c r="M67" s="225">
        <v>119.15</v>
      </c>
      <c r="N67" s="47"/>
      <c r="AD67" s="40"/>
      <c r="AF67" s="228" t="s">
        <v>432</v>
      </c>
      <c r="AG67" s="128">
        <f>520.32-0.09</f>
        <v>520.23</v>
      </c>
      <c r="AJ67" s="40"/>
      <c r="AL67" s="228" t="s">
        <v>162</v>
      </c>
      <c r="AM67" s="128">
        <f>808.35-0.09</f>
        <v>808.26</v>
      </c>
      <c r="AO67" s="228" t="s">
        <v>260</v>
      </c>
      <c r="AP67" s="128">
        <f>779.1-0.09</f>
        <v>779.01</v>
      </c>
      <c r="AR67" s="228" t="s">
        <v>262</v>
      </c>
      <c r="AS67" s="128">
        <v>678.77</v>
      </c>
      <c r="AU67" s="228" t="s">
        <v>270</v>
      </c>
      <c r="AV67" s="128">
        <f>779.1-0.09</f>
        <v>779.01</v>
      </c>
      <c r="AX67" s="228" t="s">
        <v>264</v>
      </c>
      <c r="AY67" s="128">
        <f>808.35-0.09</f>
        <v>808.26</v>
      </c>
      <c r="BA67" s="228" t="s">
        <v>267</v>
      </c>
      <c r="BB67" s="128">
        <f>779.1-0.09</f>
        <v>779.01</v>
      </c>
      <c r="BD67" s="228" t="s">
        <v>273</v>
      </c>
      <c r="BE67" s="128">
        <v>678.77</v>
      </c>
      <c r="BG67" s="228" t="s">
        <v>281</v>
      </c>
      <c r="BH67" s="128">
        <f>779.12-0.09</f>
        <v>779.03</v>
      </c>
      <c r="BJ67" s="228" t="s">
        <v>290</v>
      </c>
      <c r="BK67" s="128">
        <f>(779.12-0.09)+29.25</f>
        <v>808.28</v>
      </c>
      <c r="BM67" s="228" t="s">
        <v>285</v>
      </c>
      <c r="BN67" s="128">
        <f>779.48-0.09</f>
        <v>779.39</v>
      </c>
      <c r="BP67" s="228" t="s">
        <v>287</v>
      </c>
      <c r="BQ67" s="167">
        <f>649.7+29.27</f>
        <v>678.97</v>
      </c>
      <c r="BS67" s="228" t="s">
        <v>294</v>
      </c>
      <c r="BT67" s="128">
        <f>779.48-0.09</f>
        <v>779.39</v>
      </c>
      <c r="BV67" s="228" t="s">
        <v>296</v>
      </c>
      <c r="BW67" s="128">
        <f>779.48-0.09+29.27</f>
        <v>808.66</v>
      </c>
      <c r="BY67" s="228" t="s">
        <v>277</v>
      </c>
      <c r="BZ67" s="128">
        <f>779.48-0.09</f>
        <v>779.39</v>
      </c>
      <c r="CB67" s="228" t="s">
        <v>302</v>
      </c>
      <c r="CC67" s="167">
        <f>649.7+29.27</f>
        <v>678.97</v>
      </c>
      <c r="CE67" s="228" t="s">
        <v>298</v>
      </c>
      <c r="CF67" s="128">
        <f>779.48-0.09</f>
        <v>779.39</v>
      </c>
      <c r="CH67" s="228" t="s">
        <v>306</v>
      </c>
      <c r="CI67" s="128">
        <f>779.48-0.09+29.27</f>
        <v>808.66</v>
      </c>
      <c r="CK67" s="228" t="s">
        <v>308</v>
      </c>
      <c r="CL67" s="167">
        <f>754.11-0.09</f>
        <v>754.02</v>
      </c>
      <c r="CN67" s="228" t="s">
        <v>310</v>
      </c>
      <c r="CO67" s="128">
        <v>624.32000000000005</v>
      </c>
      <c r="CQ67" s="228" t="s">
        <v>314</v>
      </c>
      <c r="CR67" s="128">
        <f>754.11-0.09</f>
        <v>754.02</v>
      </c>
      <c r="CT67" s="228" t="s">
        <v>316</v>
      </c>
      <c r="CU67" s="128">
        <f>754.11-0.09</f>
        <v>754.02</v>
      </c>
      <c r="CW67" s="228" t="s">
        <v>312</v>
      </c>
      <c r="CX67" s="128">
        <v>624.32000000000005</v>
      </c>
      <c r="CZ67" s="228" t="s">
        <v>318</v>
      </c>
      <c r="DA67" s="128">
        <f>754.11-0.09</f>
        <v>754.02</v>
      </c>
      <c r="DC67" s="228" t="s">
        <v>320</v>
      </c>
      <c r="DD67" s="128">
        <f>754.11-0.09</f>
        <v>754.02</v>
      </c>
      <c r="DG67" s="40"/>
      <c r="DH67" s="40"/>
      <c r="DJ67" s="40"/>
      <c r="DL67" s="54"/>
      <c r="DM67" s="39" t="s">
        <v>12</v>
      </c>
      <c r="DN67" s="54"/>
      <c r="DO67" s="54"/>
      <c r="DP67" s="54"/>
      <c r="DQ67" s="54"/>
      <c r="DR67" s="54"/>
      <c r="DS67" s="54"/>
      <c r="DT67" s="154"/>
      <c r="DU67" s="186"/>
      <c r="DV67" s="187"/>
      <c r="DW67" s="170"/>
      <c r="DX67" s="93"/>
      <c r="DY67" s="94"/>
      <c r="DZ67" s="93"/>
      <c r="EA67" s="156" t="e">
        <f>SUM(EA64:EA66)</f>
        <v>#REF!</v>
      </c>
      <c r="EB67" s="231"/>
      <c r="EC67" s="96">
        <f t="shared" si="16"/>
        <v>0</v>
      </c>
      <c r="ED67" s="54">
        <f t="shared" si="17"/>
        <v>8</v>
      </c>
      <c r="EE67" s="54" t="s">
        <v>458</v>
      </c>
      <c r="EF67" s="54" t="s">
        <v>582</v>
      </c>
      <c r="EG67" s="188" t="s">
        <v>477</v>
      </c>
      <c r="EH67" s="54"/>
      <c r="EI67" s="93">
        <v>341.33</v>
      </c>
      <c r="EJ67" s="93"/>
      <c r="EK67" s="93"/>
      <c r="EL67" s="176">
        <v>184.65441558441552</v>
      </c>
      <c r="EM67" s="176">
        <f t="shared" si="15"/>
        <v>525.9844155844155</v>
      </c>
      <c r="EN67" s="176">
        <v>122.15880383907442</v>
      </c>
      <c r="EO67" s="123">
        <f>EM67*EI184</f>
        <v>7.1730740183792845</v>
      </c>
      <c r="EP67" s="123">
        <f>EM67*EI185</f>
        <v>0.73084150375939871</v>
      </c>
      <c r="EQ67" s="123">
        <f>EM67*EL176</f>
        <v>7.017431846282375</v>
      </c>
      <c r="ER67" s="123">
        <f>EM67*EL177</f>
        <v>8.4723478028404369</v>
      </c>
    </row>
    <row r="68" spans="6:148" s="101" customFormat="1" ht="25.15" customHeight="1" x14ac:dyDescent="0.25">
      <c r="F68" s="40"/>
      <c r="I68" s="40"/>
      <c r="K68" s="223"/>
      <c r="L68" s="149" t="s">
        <v>24</v>
      </c>
      <c r="M68" s="150">
        <v>37.99</v>
      </c>
      <c r="N68" s="47"/>
      <c r="AD68" s="40"/>
      <c r="AF68" s="101" t="s">
        <v>68</v>
      </c>
      <c r="AG68" s="40">
        <v>509.31</v>
      </c>
      <c r="AJ68" s="40"/>
      <c r="AL68" s="101" t="s">
        <v>68</v>
      </c>
      <c r="AM68" s="40">
        <v>756.67</v>
      </c>
      <c r="AO68" s="101" t="s">
        <v>68</v>
      </c>
      <c r="AP68" s="40">
        <v>731.02</v>
      </c>
      <c r="AR68" s="101" t="s">
        <v>68</v>
      </c>
      <c r="AS68" s="40">
        <v>634.45000000000005</v>
      </c>
      <c r="AU68" s="101" t="s">
        <v>68</v>
      </c>
      <c r="AV68" s="40">
        <v>731.02</v>
      </c>
      <c r="AX68" s="101" t="s">
        <v>68</v>
      </c>
      <c r="AY68" s="40">
        <v>756.67</v>
      </c>
      <c r="BA68" s="101" t="s">
        <v>68</v>
      </c>
      <c r="BB68" s="40">
        <v>731.02</v>
      </c>
      <c r="BD68" s="101" t="s">
        <v>68</v>
      </c>
      <c r="BE68" s="40">
        <v>634.45000000000005</v>
      </c>
      <c r="BG68" s="101" t="s">
        <v>68</v>
      </c>
      <c r="BH68" s="40">
        <v>726.09</v>
      </c>
      <c r="BJ68" s="101" t="s">
        <v>68</v>
      </c>
      <c r="BK68" s="40">
        <v>726.09</v>
      </c>
      <c r="BM68" s="101" t="s">
        <v>68</v>
      </c>
      <c r="BN68" s="40">
        <v>730.36</v>
      </c>
      <c r="BP68" s="101" t="s">
        <v>68</v>
      </c>
      <c r="BQ68" s="40">
        <v>608.80999999999995</v>
      </c>
      <c r="BS68" s="101" t="s">
        <v>68</v>
      </c>
      <c r="BT68" s="40">
        <v>730.36</v>
      </c>
      <c r="BV68" s="101" t="s">
        <v>68</v>
      </c>
      <c r="BW68" s="96">
        <v>756</v>
      </c>
      <c r="BY68" s="101" t="s">
        <v>68</v>
      </c>
      <c r="BZ68" s="40">
        <v>730.36</v>
      </c>
      <c r="CB68" s="101" t="s">
        <v>68</v>
      </c>
      <c r="CC68" s="40">
        <v>608.80999999999995</v>
      </c>
      <c r="CE68" s="101" t="s">
        <v>68</v>
      </c>
      <c r="CF68" s="40">
        <v>730.36</v>
      </c>
      <c r="CH68" s="101" t="s">
        <v>68</v>
      </c>
      <c r="CI68" s="96">
        <v>756</v>
      </c>
      <c r="CK68" s="101" t="s">
        <v>68</v>
      </c>
      <c r="CL68" s="40">
        <v>706.32</v>
      </c>
      <c r="CN68" s="101" t="s">
        <v>68</v>
      </c>
      <c r="CO68" s="40">
        <v>584.77</v>
      </c>
      <c r="CQ68" s="101" t="s">
        <v>68</v>
      </c>
      <c r="CR68" s="40">
        <v>706.32</v>
      </c>
      <c r="CT68" s="101" t="s">
        <v>68</v>
      </c>
      <c r="CU68" s="40">
        <v>706.32</v>
      </c>
      <c r="CW68" s="101" t="s">
        <v>68</v>
      </c>
      <c r="CX68" s="40">
        <v>584.77</v>
      </c>
      <c r="CZ68" s="101" t="s">
        <v>68</v>
      </c>
      <c r="DA68" s="40">
        <v>706.32</v>
      </c>
      <c r="DC68" s="101" t="s">
        <v>68</v>
      </c>
      <c r="DD68" s="40">
        <v>706.32</v>
      </c>
      <c r="DG68" s="40"/>
      <c r="DH68" s="119"/>
      <c r="DI68" s="118"/>
      <c r="DJ68" s="119"/>
      <c r="DL68" s="54"/>
      <c r="DM68" s="39" t="s">
        <v>215</v>
      </c>
      <c r="DN68" s="54"/>
      <c r="DO68" s="54"/>
      <c r="DP68" s="54"/>
      <c r="DQ68" s="54"/>
      <c r="DR68" s="54"/>
      <c r="DS68" s="54"/>
      <c r="DT68" s="154"/>
      <c r="DU68" s="180"/>
      <c r="DV68" s="92"/>
      <c r="DW68" s="170"/>
      <c r="DX68" s="93"/>
      <c r="DY68" s="94"/>
      <c r="DZ68" s="93"/>
      <c r="EA68" s="86"/>
      <c r="EB68" s="231"/>
      <c r="EC68" s="96">
        <f t="shared" si="16"/>
        <v>0</v>
      </c>
      <c r="ED68" s="54">
        <f t="shared" si="17"/>
        <v>9</v>
      </c>
      <c r="EE68" s="54" t="s">
        <v>458</v>
      </c>
      <c r="EF68" s="54" t="s">
        <v>582</v>
      </c>
      <c r="EG68" s="188" t="s">
        <v>478</v>
      </c>
      <c r="EH68" s="54"/>
      <c r="EI68" s="93">
        <v>412.96</v>
      </c>
      <c r="EJ68" s="54"/>
      <c r="EK68" s="54"/>
      <c r="EL68" s="176">
        <v>211.25818181818175</v>
      </c>
      <c r="EM68" s="176">
        <f t="shared" si="15"/>
        <v>624.21818181818173</v>
      </c>
      <c r="EN68" s="176">
        <v>144.96379424138837</v>
      </c>
      <c r="EO68" s="123">
        <f>EM68*EI184</f>
        <v>8.512729824561406</v>
      </c>
      <c r="EP68" s="123">
        <f>EM68*EI185</f>
        <v>0.8673347368421056</v>
      </c>
      <c r="EQ68" s="123">
        <f>EM68*EL176</f>
        <v>8.32801964912281</v>
      </c>
      <c r="ER68" s="123">
        <f>EM68*EL177</f>
        <v>10.054658245614037</v>
      </c>
    </row>
    <row r="69" spans="6:148" s="101" customFormat="1" ht="25.15" customHeight="1" x14ac:dyDescent="0.25">
      <c r="F69" s="40"/>
      <c r="I69" s="40"/>
      <c r="K69" s="223"/>
      <c r="L69" s="151" t="s">
        <v>36</v>
      </c>
      <c r="M69" s="152">
        <f>15.8-3.68</f>
        <v>12.120000000000001</v>
      </c>
      <c r="N69" s="47"/>
      <c r="AC69" s="47" t="s">
        <v>239</v>
      </c>
      <c r="AD69" s="100">
        <f>AD64+AD66</f>
        <v>1001.44</v>
      </c>
      <c r="AF69" s="101" t="s">
        <v>68</v>
      </c>
      <c r="AG69" s="40">
        <v>509.31</v>
      </c>
      <c r="AJ69" s="40"/>
      <c r="AL69" s="101" t="s">
        <v>68</v>
      </c>
      <c r="AM69" s="96">
        <v>746.59</v>
      </c>
      <c r="AO69" s="101" t="s">
        <v>68</v>
      </c>
      <c r="AP69" s="96">
        <v>720.95</v>
      </c>
      <c r="AR69" s="101" t="s">
        <v>68</v>
      </c>
      <c r="AS69" s="96">
        <v>625.03</v>
      </c>
      <c r="AU69" s="101" t="s">
        <v>68</v>
      </c>
      <c r="AV69" s="96">
        <v>720.95</v>
      </c>
      <c r="AX69" s="101" t="s">
        <v>68</v>
      </c>
      <c r="AY69" s="96">
        <v>746.59</v>
      </c>
      <c r="BA69" s="101" t="s">
        <v>68</v>
      </c>
      <c r="BB69" s="96">
        <v>720.95</v>
      </c>
      <c r="BD69" s="101" t="s">
        <v>68</v>
      </c>
      <c r="BE69" s="96">
        <v>625.03</v>
      </c>
      <c r="BG69" s="101" t="s">
        <v>68</v>
      </c>
      <c r="BH69" s="96">
        <v>715.99</v>
      </c>
      <c r="BJ69" s="101" t="s">
        <v>68</v>
      </c>
      <c r="BK69" s="40">
        <v>795.22</v>
      </c>
      <c r="BM69" s="101" t="s">
        <v>68</v>
      </c>
      <c r="BN69" s="40">
        <v>797.89</v>
      </c>
      <c r="BP69" s="101" t="s">
        <v>68</v>
      </c>
      <c r="BQ69" s="40">
        <v>676.35</v>
      </c>
      <c r="BS69" s="101" t="s">
        <v>68</v>
      </c>
      <c r="BT69" s="40">
        <v>797.89</v>
      </c>
      <c r="BV69" s="101" t="s">
        <v>68</v>
      </c>
      <c r="BW69" s="40">
        <v>797.89</v>
      </c>
      <c r="BY69" s="101" t="s">
        <v>68</v>
      </c>
      <c r="BZ69" s="40">
        <v>797.89</v>
      </c>
      <c r="CB69" s="101" t="s">
        <v>68</v>
      </c>
      <c r="CC69" s="40">
        <v>676.35</v>
      </c>
      <c r="CE69" s="101" t="s">
        <v>68</v>
      </c>
      <c r="CF69" s="40">
        <v>797.89</v>
      </c>
      <c r="CH69" s="101" t="s">
        <v>68</v>
      </c>
      <c r="CI69" s="40">
        <v>797.89</v>
      </c>
      <c r="CK69" s="101" t="s">
        <v>68</v>
      </c>
      <c r="CL69" s="40">
        <v>842.27</v>
      </c>
      <c r="CN69" s="101" t="s">
        <v>68</v>
      </c>
      <c r="CO69" s="40">
        <v>700.75</v>
      </c>
      <c r="CQ69" s="101" t="s">
        <v>68</v>
      </c>
      <c r="CR69" s="40">
        <v>898.91</v>
      </c>
      <c r="CT69" s="101" t="s">
        <v>68</v>
      </c>
      <c r="CU69" s="40">
        <v>898.91</v>
      </c>
      <c r="CW69" s="101" t="s">
        <v>68</v>
      </c>
      <c r="CX69" s="40">
        <v>777.38</v>
      </c>
      <c r="CZ69" s="101" t="s">
        <v>68</v>
      </c>
      <c r="DA69" s="40">
        <v>898.91</v>
      </c>
      <c r="DC69" s="101" t="s">
        <v>68</v>
      </c>
      <c r="DD69" s="40">
        <v>898.91</v>
      </c>
      <c r="DF69" s="101" t="s">
        <v>68</v>
      </c>
      <c r="DG69" s="40">
        <v>860.03</v>
      </c>
      <c r="DH69" s="120"/>
      <c r="DI69" s="118"/>
      <c r="DJ69" s="120"/>
      <c r="DL69" s="54">
        <v>8</v>
      </c>
      <c r="DM69" s="90" t="s">
        <v>435</v>
      </c>
      <c r="DN69" s="54"/>
      <c r="DO69" s="54"/>
      <c r="DP69" s="54"/>
      <c r="DQ69" s="54"/>
      <c r="DR69" s="54"/>
      <c r="DS69" s="54"/>
      <c r="DT69" s="154">
        <f>AJ65</f>
        <v>1118.49</v>
      </c>
      <c r="DU69" s="20">
        <f>AJ58</f>
        <v>121.76</v>
      </c>
      <c r="DV69" s="187">
        <f>AJ48</f>
        <v>12.120000000000001</v>
      </c>
      <c r="DW69" s="170">
        <f>AJ33+AJ35</f>
        <v>75.64</v>
      </c>
      <c r="DX69" s="93">
        <f t="shared" ref="DX69:DX105" si="23">DT69+DU69+DV69+DW69</f>
        <v>1328.01</v>
      </c>
      <c r="DY69" s="94">
        <f t="shared" si="20"/>
        <v>442.67</v>
      </c>
      <c r="DZ69" s="93">
        <f t="shared" si="21"/>
        <v>1770.68</v>
      </c>
      <c r="EA69" s="123">
        <f t="shared" ref="EA69" si="24">ROUND(DZ69*10.764/1,0)*1</f>
        <v>19060</v>
      </c>
      <c r="EB69" s="184" t="e">
        <f t="shared" ref="EB69" si="25">(EA69*$ED$54)/$EC$54</f>
        <v>#REF!</v>
      </c>
      <c r="EC69" s="96" t="e">
        <f t="shared" si="16"/>
        <v>#REF!</v>
      </c>
      <c r="ED69" s="54">
        <f t="shared" si="17"/>
        <v>10</v>
      </c>
      <c r="EE69" s="54" t="s">
        <v>458</v>
      </c>
      <c r="EF69" s="54" t="s">
        <v>333</v>
      </c>
      <c r="EG69" s="188" t="s">
        <v>479</v>
      </c>
      <c r="EH69" s="54"/>
      <c r="EI69" s="93">
        <v>594.63</v>
      </c>
      <c r="EJ69" s="54"/>
      <c r="EK69" s="54"/>
      <c r="EL69" s="176">
        <v>275.45831168831182</v>
      </c>
      <c r="EM69" s="176">
        <f t="shared" si="15"/>
        <v>870.08831168831182</v>
      </c>
      <c r="EN69" s="176">
        <v>202.07335866421246</v>
      </c>
      <c r="EO69" s="123">
        <f>EM69*EI184</f>
        <v>11.865765747702598</v>
      </c>
      <c r="EP69" s="123">
        <f>EM69*EI185</f>
        <v>1.208964812030076</v>
      </c>
      <c r="EQ69" s="123">
        <f>EM69*EL176</f>
        <v>11.608301019214711</v>
      </c>
      <c r="ER69" s="123">
        <f>EM69*EL177</f>
        <v>14.015036524644954</v>
      </c>
    </row>
    <row r="70" spans="6:148" s="101" customFormat="1" ht="25.15" customHeight="1" x14ac:dyDescent="0.25">
      <c r="F70" s="40"/>
      <c r="I70" s="40"/>
      <c r="K70" s="223"/>
      <c r="L70" s="151" t="s">
        <v>37</v>
      </c>
      <c r="M70" s="152">
        <f>15.8-3.68</f>
        <v>12.120000000000001</v>
      </c>
      <c r="N70" s="47"/>
      <c r="AD70" s="40"/>
      <c r="AG70" s="40"/>
      <c r="AJ70" s="40"/>
      <c r="AM70" s="40"/>
      <c r="AP70" s="40"/>
      <c r="AS70" s="40"/>
      <c r="AV70" s="40"/>
      <c r="AY70" s="40"/>
      <c r="BB70" s="40"/>
      <c r="BE70" s="40"/>
      <c r="BH70" s="40"/>
      <c r="BK70" s="40"/>
      <c r="BN70" s="40"/>
      <c r="BQ70" s="40"/>
      <c r="BT70" s="40"/>
      <c r="BW70" s="40"/>
      <c r="BZ70" s="40"/>
      <c r="CC70" s="40"/>
      <c r="CF70" s="40"/>
      <c r="CI70" s="40"/>
      <c r="CL70" s="40"/>
      <c r="CO70" s="40"/>
      <c r="CR70" s="40"/>
      <c r="CU70" s="40"/>
      <c r="CX70" s="40"/>
      <c r="DA70" s="40"/>
      <c r="DD70" s="40"/>
      <c r="DF70" s="228" t="s">
        <v>321</v>
      </c>
      <c r="DG70" s="128">
        <v>578.59</v>
      </c>
      <c r="DH70" s="40"/>
      <c r="DJ70" s="40"/>
      <c r="DL70" s="54"/>
      <c r="DM70" s="39" t="s">
        <v>12</v>
      </c>
      <c r="DN70" s="54"/>
      <c r="DO70" s="54"/>
      <c r="DP70" s="54"/>
      <c r="DQ70" s="54"/>
      <c r="DR70" s="54"/>
      <c r="DS70" s="54"/>
      <c r="DT70" s="154"/>
      <c r="DU70" s="186"/>
      <c r="DV70" s="187"/>
      <c r="DW70" s="170"/>
      <c r="DX70" s="93"/>
      <c r="DY70" s="94"/>
      <c r="DZ70" s="93"/>
      <c r="EA70" s="208">
        <f>SUM(EA69:EA69)</f>
        <v>19060</v>
      </c>
      <c r="EB70" s="231"/>
      <c r="EC70" s="96">
        <f t="shared" si="16"/>
        <v>0</v>
      </c>
      <c r="ED70" s="54">
        <f t="shared" si="17"/>
        <v>11</v>
      </c>
      <c r="EE70" s="54" t="s">
        <v>458</v>
      </c>
      <c r="EF70" s="54" t="s">
        <v>333</v>
      </c>
      <c r="EG70" s="188" t="s">
        <v>480</v>
      </c>
      <c r="EH70" s="54"/>
      <c r="EI70" s="93">
        <v>429.97</v>
      </c>
      <c r="EJ70" s="54"/>
      <c r="EK70" s="54"/>
      <c r="EL70" s="176">
        <v>235.54688311688301</v>
      </c>
      <c r="EM70" s="176">
        <f t="shared" si="15"/>
        <v>665.51688311688304</v>
      </c>
      <c r="EN70" s="176">
        <v>154.56475992637394</v>
      </c>
      <c r="EO70" s="123">
        <f>EM70*EI184</f>
        <v>9.0759378446115324</v>
      </c>
      <c r="EP70" s="123">
        <f>EM70*EI185</f>
        <v>0.92471819548872214</v>
      </c>
      <c r="EQ70" s="123">
        <f>EM70*EL176</f>
        <v>8.8790071177944885</v>
      </c>
      <c r="ER70" s="123">
        <f>EM70*EL177</f>
        <v>10.719881303258148</v>
      </c>
    </row>
    <row r="71" spans="6:148" s="101" customFormat="1" ht="25.15" customHeight="1" x14ac:dyDescent="0.25">
      <c r="F71" s="40"/>
      <c r="I71" s="40"/>
      <c r="K71" s="223"/>
      <c r="L71" s="151" t="s">
        <v>74</v>
      </c>
      <c r="M71" s="152">
        <v>7.07</v>
      </c>
      <c r="N71" s="47"/>
      <c r="AD71" s="40"/>
      <c r="AG71" s="40"/>
      <c r="AI71" s="47" t="s">
        <v>234</v>
      </c>
      <c r="AJ71" s="100" t="e">
        <f>#REF!+AJ65</f>
        <v>#REF!</v>
      </c>
      <c r="AL71" s="47" t="s">
        <v>234</v>
      </c>
      <c r="AM71" s="100" t="e">
        <f>#REF!+AM65+AM67+#REF!</f>
        <v>#REF!</v>
      </c>
      <c r="AO71" s="47" t="s">
        <v>234</v>
      </c>
      <c r="AP71" s="100" t="e">
        <f>#REF!+AP65+AP67+#REF!</f>
        <v>#REF!</v>
      </c>
      <c r="AR71" s="47" t="s">
        <v>234</v>
      </c>
      <c r="AS71" s="100" t="e">
        <f>#REF!+AS65+AS67+#REF!</f>
        <v>#REF!</v>
      </c>
      <c r="AU71" s="47" t="s">
        <v>234</v>
      </c>
      <c r="AV71" s="100" t="e">
        <f>#REF!+AV65+AV67+#REF!</f>
        <v>#REF!</v>
      </c>
      <c r="AX71" s="47" t="s">
        <v>234</v>
      </c>
      <c r="AY71" s="100" t="e">
        <f>#REF!+AY65+AY67+#REF!</f>
        <v>#REF!</v>
      </c>
      <c r="BA71" s="47" t="s">
        <v>234</v>
      </c>
      <c r="BB71" s="100" t="e">
        <f>#REF!+BB65+BB67+#REF!</f>
        <v>#REF!</v>
      </c>
      <c r="BD71" s="47" t="s">
        <v>234</v>
      </c>
      <c r="BE71" s="100" t="e">
        <f>#REF!+BE65+BE67+#REF!</f>
        <v>#REF!</v>
      </c>
      <c r="BG71" s="47" t="s">
        <v>234</v>
      </c>
      <c r="BH71" s="100" t="e">
        <f>#REF!+BH65+BH67+#REF!</f>
        <v>#REF!</v>
      </c>
      <c r="BJ71" s="47" t="s">
        <v>234</v>
      </c>
      <c r="BK71" s="95" t="e">
        <f>#REF!+BK65+BK67+#REF!</f>
        <v>#REF!</v>
      </c>
      <c r="BM71" s="47" t="s">
        <v>234</v>
      </c>
      <c r="BN71" s="100" t="e">
        <f>#REF!+BN65+BN67+#REF!</f>
        <v>#REF!</v>
      </c>
      <c r="BP71" s="47" t="s">
        <v>234</v>
      </c>
      <c r="BQ71" s="100" t="e">
        <f>#REF!+BQ65+BQ67+#REF!</f>
        <v>#REF!</v>
      </c>
      <c r="BS71" s="47" t="s">
        <v>234</v>
      </c>
      <c r="BT71" s="95" t="e">
        <f>#REF!+BT65+BT67+#REF!</f>
        <v>#REF!</v>
      </c>
      <c r="BV71" s="47" t="s">
        <v>234</v>
      </c>
      <c r="BW71" s="95" t="e">
        <f>#REF!+BW65+BW67+#REF!</f>
        <v>#REF!</v>
      </c>
      <c r="BY71" s="47" t="s">
        <v>234</v>
      </c>
      <c r="BZ71" s="100" t="e">
        <f>#REF!+BZ65+BZ67+#REF!</f>
        <v>#REF!</v>
      </c>
      <c r="CB71" s="47" t="s">
        <v>234</v>
      </c>
      <c r="CC71" s="100" t="e">
        <f>#REF!+CC65+CC67+#REF!</f>
        <v>#REF!</v>
      </c>
      <c r="CE71" s="47" t="s">
        <v>234</v>
      </c>
      <c r="CF71" s="100" t="e">
        <f>#REF!+CF65+CF67+#REF!</f>
        <v>#REF!</v>
      </c>
      <c r="CH71" s="47" t="s">
        <v>234</v>
      </c>
      <c r="CI71" s="95" t="e">
        <f>#REF!+CI65+CI67+#REF!</f>
        <v>#REF!</v>
      </c>
      <c r="CK71" s="47" t="s">
        <v>234</v>
      </c>
      <c r="CL71" s="95" t="e">
        <f>#REF!+CL65+CL67+#REF!</f>
        <v>#REF!</v>
      </c>
      <c r="CN71" s="47" t="s">
        <v>234</v>
      </c>
      <c r="CO71" s="95" t="e">
        <f>#REF!+CO65+CO67+#REF!</f>
        <v>#REF!</v>
      </c>
      <c r="CQ71" s="47" t="s">
        <v>234</v>
      </c>
      <c r="CR71" s="100" t="e">
        <f>#REF!+CR65+CR67+#REF!</f>
        <v>#REF!</v>
      </c>
      <c r="CT71" s="47" t="s">
        <v>234</v>
      </c>
      <c r="CU71" s="95" t="e">
        <f>#REF!+CU65+CU67+#REF!</f>
        <v>#REF!</v>
      </c>
      <c r="CW71" s="47" t="s">
        <v>234</v>
      </c>
      <c r="CX71" s="95" t="e">
        <f>#REF!+CX65+CX67+#REF!</f>
        <v>#REF!</v>
      </c>
      <c r="CZ71" s="47" t="s">
        <v>234</v>
      </c>
      <c r="DA71" s="100" t="e">
        <f>#REF!+DA65+DA67+#REF!</f>
        <v>#REF!</v>
      </c>
      <c r="DC71" s="47" t="s">
        <v>234</v>
      </c>
      <c r="DD71" s="100" t="e">
        <f>#REF!+DD65+DD67+#REF!</f>
        <v>#REF!</v>
      </c>
      <c r="DF71" s="101" t="s">
        <v>68</v>
      </c>
      <c r="DG71" s="40">
        <v>564.44000000000005</v>
      </c>
      <c r="DH71" s="120"/>
      <c r="DI71" s="118"/>
      <c r="DJ71" s="120"/>
      <c r="DL71" s="54"/>
      <c r="DM71" s="39" t="s">
        <v>333</v>
      </c>
      <c r="DN71" s="54"/>
      <c r="DO71" s="54"/>
      <c r="DP71" s="54"/>
      <c r="DQ71" s="54"/>
      <c r="DR71" s="54"/>
      <c r="DS71" s="54"/>
      <c r="DT71" s="154"/>
      <c r="DU71" s="180"/>
      <c r="DV71" s="92"/>
      <c r="DW71" s="170"/>
      <c r="DX71" s="93"/>
      <c r="DY71" s="94"/>
      <c r="DZ71" s="93"/>
      <c r="EA71" s="86"/>
      <c r="EB71" s="231"/>
      <c r="EC71" s="96">
        <f t="shared" si="16"/>
        <v>0</v>
      </c>
      <c r="ED71" s="54">
        <f t="shared" si="17"/>
        <v>12</v>
      </c>
      <c r="EE71" s="54" t="s">
        <v>458</v>
      </c>
      <c r="EF71" s="54" t="s">
        <v>333</v>
      </c>
      <c r="EG71" s="188" t="s">
        <v>481</v>
      </c>
      <c r="EH71" s="54"/>
      <c r="EI71" s="93">
        <v>430.5</v>
      </c>
      <c r="EJ71" s="54"/>
      <c r="EK71" s="54"/>
      <c r="EL71" s="176">
        <v>229.12077922077924</v>
      </c>
      <c r="EM71" s="176">
        <f t="shared" si="15"/>
        <v>659.62077922077924</v>
      </c>
      <c r="EN71" s="176">
        <v>153.1839468840389</v>
      </c>
      <c r="EO71" s="123">
        <f>EM71*EI184</f>
        <v>8.9955301587301637</v>
      </c>
      <c r="EP71" s="123">
        <f>EM71*EI185</f>
        <v>0.91652571428571472</v>
      </c>
      <c r="EQ71" s="123">
        <f>EM71*EL176</f>
        <v>8.8003441269841307</v>
      </c>
      <c r="ER71" s="123">
        <f>EM71*EL177</f>
        <v>10.62490920634921</v>
      </c>
    </row>
    <row r="72" spans="6:148" s="101" customFormat="1" ht="25.15" customHeight="1" x14ac:dyDescent="0.25">
      <c r="F72" s="40"/>
      <c r="I72" s="40"/>
      <c r="K72" s="223"/>
      <c r="L72" s="151" t="s">
        <v>72</v>
      </c>
      <c r="M72" s="152">
        <v>16.010000000000002</v>
      </c>
      <c r="N72" s="47"/>
      <c r="AD72" s="40"/>
      <c r="AG72" s="40"/>
      <c r="AI72" s="47" t="s">
        <v>239</v>
      </c>
      <c r="AJ72" s="100">
        <f>AJ64</f>
        <v>0</v>
      </c>
      <c r="AL72" s="47" t="s">
        <v>239</v>
      </c>
      <c r="AM72" s="100">
        <f>AM64+AM66+AM68+AM69</f>
        <v>2694.9900000000002</v>
      </c>
      <c r="AO72" s="47" t="s">
        <v>239</v>
      </c>
      <c r="AP72" s="100">
        <f>AP64+AP66+AP68+AP69</f>
        <v>2294.83</v>
      </c>
      <c r="AR72" s="47" t="s">
        <v>239</v>
      </c>
      <c r="AS72" s="100">
        <f>AS64+AS66+AS68+AS69</f>
        <v>2417.38</v>
      </c>
      <c r="AU72" s="47" t="s">
        <v>239</v>
      </c>
      <c r="AV72" s="100">
        <f>AV64+AV66+AV68+AV69</f>
        <v>2294.83</v>
      </c>
      <c r="AX72" s="47" t="s">
        <v>239</v>
      </c>
      <c r="AY72" s="100">
        <f>AY64+AY66+AY68+AY69</f>
        <v>2694.9900000000002</v>
      </c>
      <c r="BA72" s="47" t="s">
        <v>239</v>
      </c>
      <c r="BB72" s="100">
        <f>BB64+BB66+BB68+BB69</f>
        <v>2294.83</v>
      </c>
      <c r="BD72" s="47" t="s">
        <v>239</v>
      </c>
      <c r="BE72" s="100">
        <f>BE64+BE66+BE68+BE69</f>
        <v>2417.38</v>
      </c>
      <c r="BG72" s="47" t="s">
        <v>239</v>
      </c>
      <c r="BH72" s="100">
        <f>BH64+BH66+BH68+BH69</f>
        <v>2602.8599999999997</v>
      </c>
      <c r="BJ72" s="47" t="s">
        <v>239</v>
      </c>
      <c r="BK72" s="100">
        <f>BK64+BK66+BK68+BK69</f>
        <v>2121.84</v>
      </c>
      <c r="BM72" s="47" t="s">
        <v>239</v>
      </c>
      <c r="BN72" s="100">
        <f>BN64+BN66+BN68+BN69</f>
        <v>2745.71</v>
      </c>
      <c r="BP72" s="47" t="s">
        <v>239</v>
      </c>
      <c r="BQ72" s="100">
        <f>BQ64+BQ66+BQ68+BQ69</f>
        <v>2494.42</v>
      </c>
      <c r="BS72" s="47" t="s">
        <v>239</v>
      </c>
      <c r="BT72" s="100">
        <f>BT64+BT66+BT68+BT69</f>
        <v>2745.71</v>
      </c>
      <c r="BV72" s="47" t="s">
        <v>239</v>
      </c>
      <c r="BW72" s="100">
        <f>BW64+BW66+BW68+BW69</f>
        <v>2796.98</v>
      </c>
      <c r="BY72" s="47" t="s">
        <v>239</v>
      </c>
      <c r="BZ72" s="100">
        <f>BZ64+BZ66+BZ68+BZ69</f>
        <v>2745.71</v>
      </c>
      <c r="CB72" s="47" t="s">
        <v>239</v>
      </c>
      <c r="CC72" s="100">
        <f>CC64+CC66+CC68+CC69</f>
        <v>2494.42</v>
      </c>
      <c r="CE72" s="47" t="s">
        <v>239</v>
      </c>
      <c r="CF72" s="100">
        <f>CF64+CF66+CF68+CF69</f>
        <v>2745.71</v>
      </c>
      <c r="CH72" s="47" t="s">
        <v>239</v>
      </c>
      <c r="CI72" s="100">
        <f>CI64+CI66+CI68+CI69</f>
        <v>2796.98</v>
      </c>
      <c r="CK72" s="47" t="s">
        <v>239</v>
      </c>
      <c r="CL72" s="100">
        <f>CL64+CL66+CL68+CL69</f>
        <v>2786.39</v>
      </c>
      <c r="CN72" s="47" t="s">
        <v>239</v>
      </c>
      <c r="CO72" s="100">
        <f>CO64+CO66+CO68+CO69</f>
        <v>2512.1799999999998</v>
      </c>
      <c r="CQ72" s="47" t="s">
        <v>239</v>
      </c>
      <c r="CR72" s="100">
        <f>CR64+CR66+CR68+CR69</f>
        <v>2899.68</v>
      </c>
      <c r="CT72" s="47" t="s">
        <v>239</v>
      </c>
      <c r="CU72" s="100">
        <f>CU64+CU66+CU68+CU69</f>
        <v>2899.68</v>
      </c>
      <c r="CW72" s="47" t="s">
        <v>239</v>
      </c>
      <c r="CX72" s="100">
        <f>CX64+CX66+CX68+CX69</f>
        <v>2648.4</v>
      </c>
      <c r="CZ72" s="47" t="s">
        <v>239</v>
      </c>
      <c r="DA72" s="100">
        <f>DA64+DA66+DA68+DA69</f>
        <v>2899.68</v>
      </c>
      <c r="DC72" s="47" t="s">
        <v>239</v>
      </c>
      <c r="DD72" s="100">
        <f>DD64+DD66+DD68+DD69</f>
        <v>2899.68</v>
      </c>
      <c r="DF72" s="232"/>
      <c r="DG72" s="233"/>
      <c r="DH72" s="40"/>
      <c r="DJ72" s="40"/>
      <c r="DL72" s="54">
        <v>9</v>
      </c>
      <c r="DM72" s="86" t="s">
        <v>230</v>
      </c>
      <c r="DN72" s="54">
        <f>3859.21-924.16</f>
        <v>2935.05</v>
      </c>
      <c r="DO72" s="54">
        <v>208.39</v>
      </c>
      <c r="DP72" s="54">
        <v>18.39</v>
      </c>
      <c r="DQ72" s="54"/>
      <c r="DR72" s="54">
        <v>134.99</v>
      </c>
      <c r="DS72" s="54">
        <f>DN72+DO72+DP72+DQ72+DR72</f>
        <v>3296.8199999999997</v>
      </c>
      <c r="DT72" s="19" t="e">
        <f>#REF!</f>
        <v>#REF!</v>
      </c>
      <c r="DU72" s="20">
        <f>AM56/2</f>
        <v>60.88</v>
      </c>
      <c r="DV72" s="187">
        <f>AM46/2</f>
        <v>6.0600000000000005</v>
      </c>
      <c r="DW72" s="170">
        <f>AM31</f>
        <v>37.82</v>
      </c>
      <c r="DX72" s="93" t="e">
        <f t="shared" si="23"/>
        <v>#REF!</v>
      </c>
      <c r="DY72" s="94" t="e">
        <f t="shared" si="20"/>
        <v>#REF!</v>
      </c>
      <c r="DZ72" s="93" t="e">
        <f t="shared" si="21"/>
        <v>#REF!</v>
      </c>
      <c r="EA72" s="123" t="e">
        <f t="shared" ref="EA72:EA74" si="26">ROUND(DZ72*10.764/1,0)*1</f>
        <v>#REF!</v>
      </c>
      <c r="EB72" s="184" t="e">
        <f t="shared" ref="EB72:EB74" si="27">(EA72*$ED$54)/$EC$54</f>
        <v>#REF!</v>
      </c>
      <c r="EC72" s="96" t="e">
        <f t="shared" si="16"/>
        <v>#REF!</v>
      </c>
      <c r="ED72" s="54">
        <f t="shared" si="17"/>
        <v>13</v>
      </c>
      <c r="EE72" s="54" t="s">
        <v>458</v>
      </c>
      <c r="EF72" s="54" t="s">
        <v>333</v>
      </c>
      <c r="EG72" s="188" t="s">
        <v>482</v>
      </c>
      <c r="EH72" s="54"/>
      <c r="EI72" s="93">
        <v>341.33</v>
      </c>
      <c r="EJ72" s="54"/>
      <c r="EK72" s="54"/>
      <c r="EL72" s="176">
        <v>184.65441558441552</v>
      </c>
      <c r="EM72" s="176">
        <f t="shared" si="15"/>
        <v>525.9844155844155</v>
      </c>
      <c r="EN72" s="176">
        <v>122.15880383907442</v>
      </c>
      <c r="EO72" s="123">
        <f>EM72*EI184</f>
        <v>7.1730740183792845</v>
      </c>
      <c r="EP72" s="123">
        <f>EM72*EI185</f>
        <v>0.73084150375939871</v>
      </c>
      <c r="EQ72" s="123">
        <f>EM72*EL176</f>
        <v>7.017431846282375</v>
      </c>
      <c r="ER72" s="123">
        <f>EM72*EL177</f>
        <v>8.4723478028404369</v>
      </c>
    </row>
    <row r="73" spans="6:148" s="101" customFormat="1" ht="25.15" customHeight="1" x14ac:dyDescent="0.25">
      <c r="F73" s="40"/>
      <c r="I73" s="40"/>
      <c r="K73" s="223"/>
      <c r="L73" s="151" t="s">
        <v>73</v>
      </c>
      <c r="M73" s="152">
        <v>17.73</v>
      </c>
      <c r="N73" s="47"/>
      <c r="AD73" s="40"/>
      <c r="AF73" s="47" t="s">
        <v>234</v>
      </c>
      <c r="AG73" s="95" t="e">
        <f>AG67+#REF!+#REF!+AG65</f>
        <v>#REF!</v>
      </c>
      <c r="AJ73" s="40"/>
      <c r="AM73" s="40"/>
      <c r="AP73" s="40"/>
      <c r="AS73" s="40"/>
      <c r="AV73" s="40"/>
      <c r="AY73" s="40"/>
      <c r="BB73" s="40"/>
      <c r="BE73" s="40"/>
      <c r="BH73" s="40"/>
      <c r="BK73" s="40"/>
      <c r="BN73" s="40"/>
      <c r="BQ73" s="40"/>
      <c r="BT73" s="40"/>
      <c r="BW73" s="40"/>
      <c r="BZ73" s="40"/>
      <c r="CC73" s="40"/>
      <c r="CF73" s="40"/>
      <c r="CI73" s="40"/>
      <c r="CL73" s="40"/>
      <c r="CO73" s="40"/>
      <c r="CR73" s="40"/>
      <c r="CU73" s="40"/>
      <c r="CX73" s="40"/>
      <c r="DA73" s="40"/>
      <c r="DD73" s="40"/>
      <c r="DF73" s="220"/>
      <c r="DG73" s="234"/>
      <c r="DH73" s="40"/>
      <c r="DJ73" s="40"/>
      <c r="DL73" s="54">
        <v>10</v>
      </c>
      <c r="DM73" s="90" t="s">
        <v>330</v>
      </c>
      <c r="DN73" s="54"/>
      <c r="DO73" s="54"/>
      <c r="DP73" s="54"/>
      <c r="DQ73" s="54"/>
      <c r="DR73" s="54"/>
      <c r="DS73" s="54"/>
      <c r="DT73" s="154">
        <f>AM65</f>
        <v>644.02</v>
      </c>
      <c r="DU73" s="20">
        <f>DU72</f>
        <v>60.88</v>
      </c>
      <c r="DV73" s="187">
        <f>AM51/4</f>
        <v>6.0600000000000005</v>
      </c>
      <c r="DW73" s="170">
        <f>AM33</f>
        <v>37.82</v>
      </c>
      <c r="DX73" s="93">
        <f t="shared" si="23"/>
        <v>748.78</v>
      </c>
      <c r="DY73" s="94">
        <f t="shared" si="20"/>
        <v>249.59333333333333</v>
      </c>
      <c r="DZ73" s="93">
        <f t="shared" si="21"/>
        <v>998.37333333333333</v>
      </c>
      <c r="EA73" s="123">
        <f t="shared" si="26"/>
        <v>10746</v>
      </c>
      <c r="EB73" s="184" t="e">
        <f t="shared" si="27"/>
        <v>#REF!</v>
      </c>
      <c r="EC73" s="96" t="e">
        <f t="shared" si="16"/>
        <v>#REF!</v>
      </c>
      <c r="ED73" s="54">
        <f t="shared" si="17"/>
        <v>14</v>
      </c>
      <c r="EE73" s="54" t="s">
        <v>458</v>
      </c>
      <c r="EF73" s="54" t="s">
        <v>333</v>
      </c>
      <c r="EG73" s="188" t="s">
        <v>483</v>
      </c>
      <c r="EH73" s="54"/>
      <c r="EI73" s="93">
        <v>412.96</v>
      </c>
      <c r="EJ73" s="54"/>
      <c r="EK73" s="54"/>
      <c r="EL73" s="176">
        <v>211.25818181818175</v>
      </c>
      <c r="EM73" s="176">
        <f t="shared" si="15"/>
        <v>624.21818181818173</v>
      </c>
      <c r="EN73" s="176">
        <v>144.96379424138837</v>
      </c>
      <c r="EO73" s="123">
        <f>EM73*EI184</f>
        <v>8.512729824561406</v>
      </c>
      <c r="EP73" s="123">
        <f>EM73*EI185</f>
        <v>0.8673347368421056</v>
      </c>
      <c r="EQ73" s="123">
        <f>EM73*EL176</f>
        <v>8.32801964912281</v>
      </c>
      <c r="ER73" s="123">
        <f>EM73*EL177</f>
        <v>10.054658245614037</v>
      </c>
    </row>
    <row r="74" spans="6:148" s="101" customFormat="1" ht="25.15" customHeight="1" x14ac:dyDescent="0.25">
      <c r="F74" s="40"/>
      <c r="I74" s="40"/>
      <c r="K74" s="223"/>
      <c r="L74" s="151" t="s">
        <v>147</v>
      </c>
      <c r="M74" s="152">
        <v>1.86</v>
      </c>
      <c r="N74" s="47"/>
      <c r="AD74" s="40"/>
      <c r="AG74" s="40"/>
      <c r="AJ74" s="40"/>
      <c r="AM74" s="40"/>
      <c r="AP74" s="40"/>
      <c r="AS74" s="40"/>
      <c r="AV74" s="40"/>
      <c r="AY74" s="40"/>
      <c r="BB74" s="40"/>
      <c r="BE74" s="40"/>
      <c r="BH74" s="40"/>
      <c r="BK74" s="40"/>
      <c r="BN74" s="40"/>
      <c r="BQ74" s="40"/>
      <c r="BT74" s="40"/>
      <c r="BW74" s="40"/>
      <c r="BZ74" s="40"/>
      <c r="CC74" s="40"/>
      <c r="CF74" s="40"/>
      <c r="CI74" s="40"/>
      <c r="CL74" s="40"/>
      <c r="CO74" s="40"/>
      <c r="CR74" s="40"/>
      <c r="CU74" s="40"/>
      <c r="CX74" s="40"/>
      <c r="DA74" s="40"/>
      <c r="DD74" s="40"/>
      <c r="DF74" s="220"/>
      <c r="DG74" s="234"/>
      <c r="DH74" s="100"/>
      <c r="DI74" s="47"/>
      <c r="DJ74" s="100"/>
      <c r="DL74" s="54">
        <v>12</v>
      </c>
      <c r="DM74" s="90" t="s">
        <v>331</v>
      </c>
      <c r="DN74" s="54"/>
      <c r="DO74" s="54"/>
      <c r="DP74" s="54"/>
      <c r="DQ74" s="54"/>
      <c r="DR74" s="54"/>
      <c r="DS74" s="54"/>
      <c r="DT74" s="154" t="e">
        <f>#REF!</f>
        <v>#REF!</v>
      </c>
      <c r="DU74" s="20" t="e">
        <f>#REF!</f>
        <v>#REF!</v>
      </c>
      <c r="DV74" s="187">
        <f>AM51/4</f>
        <v>6.0600000000000005</v>
      </c>
      <c r="DW74" s="170">
        <f>AM37</f>
        <v>37.82</v>
      </c>
      <c r="DX74" s="93" t="e">
        <f t="shared" si="23"/>
        <v>#REF!</v>
      </c>
      <c r="DY74" s="94" t="e">
        <f t="shared" si="20"/>
        <v>#REF!</v>
      </c>
      <c r="DZ74" s="93" t="e">
        <f t="shared" si="21"/>
        <v>#REF!</v>
      </c>
      <c r="EA74" s="123" t="e">
        <f t="shared" si="26"/>
        <v>#REF!</v>
      </c>
      <c r="EB74" s="184" t="e">
        <f t="shared" si="27"/>
        <v>#REF!</v>
      </c>
      <c r="EC74" s="96" t="e">
        <f t="shared" si="16"/>
        <v>#REF!</v>
      </c>
      <c r="ED74" s="54">
        <f t="shared" si="17"/>
        <v>15</v>
      </c>
      <c r="EE74" s="54" t="s">
        <v>458</v>
      </c>
      <c r="EF74" s="54" t="s">
        <v>217</v>
      </c>
      <c r="EG74" s="188" t="s">
        <v>484</v>
      </c>
      <c r="EH74" s="54"/>
      <c r="EI74" s="93">
        <v>594.63</v>
      </c>
      <c r="EJ74" s="54"/>
      <c r="EK74" s="54"/>
      <c r="EL74" s="176">
        <v>275.45831168831182</v>
      </c>
      <c r="EM74" s="176">
        <f t="shared" si="15"/>
        <v>870.08831168831182</v>
      </c>
      <c r="EN74" s="176">
        <v>202.07335866421246</v>
      </c>
      <c r="EO74" s="123">
        <f>EM74*EI184</f>
        <v>11.865765747702598</v>
      </c>
      <c r="EP74" s="123">
        <f>EM74*EI185</f>
        <v>1.208964812030076</v>
      </c>
      <c r="EQ74" s="123">
        <f>EM74*EL176</f>
        <v>11.608301019214711</v>
      </c>
      <c r="ER74" s="123">
        <f>EM74*EL177</f>
        <v>14.015036524644954</v>
      </c>
    </row>
    <row r="75" spans="6:148" s="101" customFormat="1" ht="25.15" customHeight="1" x14ac:dyDescent="0.25">
      <c r="F75" s="40"/>
      <c r="I75" s="40"/>
      <c r="K75" s="223"/>
      <c r="L75" s="235" t="s">
        <v>69</v>
      </c>
      <c r="M75" s="236">
        <f>138.74-12.25</f>
        <v>126.49000000000001</v>
      </c>
      <c r="N75" s="47"/>
      <c r="AD75" s="40"/>
      <c r="AG75" s="40"/>
      <c r="AJ75" s="40"/>
      <c r="AM75" s="40"/>
      <c r="AP75" s="40"/>
      <c r="AS75" s="40"/>
      <c r="AV75" s="40"/>
      <c r="AY75" s="40"/>
      <c r="BB75" s="40"/>
      <c r="BE75" s="40"/>
      <c r="BH75" s="40"/>
      <c r="BK75" s="40"/>
      <c r="BN75" s="40"/>
      <c r="BQ75" s="40"/>
      <c r="BT75" s="40"/>
      <c r="BW75" s="40"/>
      <c r="BZ75" s="40"/>
      <c r="CC75" s="40"/>
      <c r="CF75" s="40"/>
      <c r="CI75" s="40"/>
      <c r="CL75" s="40"/>
      <c r="CO75" s="40"/>
      <c r="CR75" s="40"/>
      <c r="CU75" s="40"/>
      <c r="CX75" s="40"/>
      <c r="DA75" s="40"/>
      <c r="DD75" s="40"/>
      <c r="DG75" s="40"/>
      <c r="DH75" s="40"/>
      <c r="DJ75" s="40"/>
      <c r="DL75" s="54"/>
      <c r="DM75" s="39" t="s">
        <v>12</v>
      </c>
      <c r="DN75" s="54"/>
      <c r="DO75" s="54"/>
      <c r="DP75" s="54"/>
      <c r="DQ75" s="54"/>
      <c r="DR75" s="54"/>
      <c r="DS75" s="54"/>
      <c r="DT75" s="154"/>
      <c r="DU75" s="186"/>
      <c r="DV75" s="187"/>
      <c r="DW75" s="170"/>
      <c r="DX75" s="93"/>
      <c r="DY75" s="94"/>
      <c r="DZ75" s="93"/>
      <c r="EA75" s="208" t="e">
        <f>SUM(EA72:EA74)</f>
        <v>#REF!</v>
      </c>
      <c r="EB75" s="231"/>
      <c r="EC75" s="96">
        <f t="shared" si="16"/>
        <v>0</v>
      </c>
      <c r="ED75" s="54">
        <f t="shared" si="17"/>
        <v>16</v>
      </c>
      <c r="EE75" s="54" t="s">
        <v>458</v>
      </c>
      <c r="EF75" s="54" t="s">
        <v>217</v>
      </c>
      <c r="EG75" s="188" t="s">
        <v>485</v>
      </c>
      <c r="EH75" s="54"/>
      <c r="EI75" s="93">
        <v>429.97</v>
      </c>
      <c r="EJ75" s="54"/>
      <c r="EK75" s="54"/>
      <c r="EL75" s="176">
        <v>235.54688311688301</v>
      </c>
      <c r="EM75" s="176">
        <f t="shared" si="15"/>
        <v>665.51688311688304</v>
      </c>
      <c r="EN75" s="176">
        <v>154.56475992637394</v>
      </c>
      <c r="EO75" s="123">
        <f>EM75*EI184</f>
        <v>9.0759378446115324</v>
      </c>
      <c r="EP75" s="123">
        <f>EM75*EI185</f>
        <v>0.92471819548872214</v>
      </c>
      <c r="EQ75" s="123">
        <f>EM75*EL176</f>
        <v>8.8790071177944885</v>
      </c>
      <c r="ER75" s="123">
        <f>EM75*EL177</f>
        <v>10.719881303258148</v>
      </c>
    </row>
    <row r="76" spans="6:148" s="101" customFormat="1" ht="25.15" customHeight="1" x14ac:dyDescent="0.25">
      <c r="F76" s="40"/>
      <c r="I76" s="40"/>
      <c r="K76" s="47"/>
      <c r="L76" s="235" t="s">
        <v>70</v>
      </c>
      <c r="M76" s="236">
        <f>138.75-12</f>
        <v>126.75</v>
      </c>
      <c r="N76" s="47"/>
      <c r="AD76" s="40"/>
      <c r="AG76" s="40"/>
      <c r="AJ76" s="40"/>
      <c r="AM76" s="40"/>
      <c r="AP76" s="40"/>
      <c r="AS76" s="40"/>
      <c r="AV76" s="40"/>
      <c r="AY76" s="40"/>
      <c r="BB76" s="40"/>
      <c r="BE76" s="40"/>
      <c r="BH76" s="40"/>
      <c r="BK76" s="40"/>
      <c r="BN76" s="40"/>
      <c r="BQ76" s="40"/>
      <c r="BT76" s="40"/>
      <c r="BW76" s="40"/>
      <c r="BZ76" s="40"/>
      <c r="CC76" s="40"/>
      <c r="CF76" s="40"/>
      <c r="CI76" s="40"/>
      <c r="CL76" s="40"/>
      <c r="CO76" s="40"/>
      <c r="CR76" s="40"/>
      <c r="CU76" s="40"/>
      <c r="CX76" s="40"/>
      <c r="DA76" s="40"/>
      <c r="DD76" s="40"/>
      <c r="DF76" s="47" t="s">
        <v>234</v>
      </c>
      <c r="DG76" s="100" t="e">
        <f>#REF!+DG70+DG72+#REF!</f>
        <v>#REF!</v>
      </c>
      <c r="DH76" s="40"/>
      <c r="DJ76" s="40"/>
      <c r="DL76" s="54"/>
      <c r="DM76" s="39" t="s">
        <v>217</v>
      </c>
      <c r="DN76" s="54"/>
      <c r="DO76" s="54"/>
      <c r="DP76" s="54"/>
      <c r="DQ76" s="54"/>
      <c r="DR76" s="54"/>
      <c r="DS76" s="54"/>
      <c r="DT76" s="154"/>
      <c r="DU76" s="180"/>
      <c r="DV76" s="92"/>
      <c r="DW76" s="170"/>
      <c r="DX76" s="93"/>
      <c r="DY76" s="94"/>
      <c r="DZ76" s="93"/>
      <c r="EA76" s="86"/>
      <c r="EB76" s="231"/>
      <c r="EC76" s="96">
        <f t="shared" si="16"/>
        <v>0</v>
      </c>
      <c r="ED76" s="54">
        <f t="shared" si="17"/>
        <v>17</v>
      </c>
      <c r="EE76" s="54" t="s">
        <v>458</v>
      </c>
      <c r="EF76" s="54" t="s">
        <v>217</v>
      </c>
      <c r="EG76" s="188" t="s">
        <v>486</v>
      </c>
      <c r="EH76" s="54"/>
      <c r="EI76" s="93">
        <v>430.5</v>
      </c>
      <c r="EJ76" s="54"/>
      <c r="EK76" s="54"/>
      <c r="EL76" s="176">
        <v>229.12077922077924</v>
      </c>
      <c r="EM76" s="176">
        <f t="shared" si="15"/>
        <v>659.62077922077924</v>
      </c>
      <c r="EN76" s="176">
        <v>153.1839468840389</v>
      </c>
      <c r="EO76" s="123">
        <f>EM76*EI184</f>
        <v>8.9955301587301637</v>
      </c>
      <c r="EP76" s="123">
        <f>EM76*EI185</f>
        <v>0.91652571428571472</v>
      </c>
      <c r="EQ76" s="123">
        <f>EM76*EL176</f>
        <v>8.8003441269841307</v>
      </c>
      <c r="ER76" s="123">
        <f>EM76*EL177</f>
        <v>10.62490920634921</v>
      </c>
    </row>
    <row r="77" spans="6:148" s="101" customFormat="1" ht="25.15" customHeight="1" x14ac:dyDescent="0.25">
      <c r="F77" s="40"/>
      <c r="I77" s="40"/>
      <c r="K77" s="47"/>
      <c r="L77" s="235" t="s">
        <v>71</v>
      </c>
      <c r="M77" s="236">
        <f>138.75-12.24</f>
        <v>126.51</v>
      </c>
      <c r="AD77" s="40"/>
      <c r="AG77" s="40"/>
      <c r="AJ77" s="40"/>
      <c r="AM77" s="40"/>
      <c r="AP77" s="40"/>
      <c r="AS77" s="40"/>
      <c r="AV77" s="40"/>
      <c r="AY77" s="40"/>
      <c r="BB77" s="40"/>
      <c r="BE77" s="40"/>
      <c r="BH77" s="40"/>
      <c r="BK77" s="40"/>
      <c r="BN77" s="40"/>
      <c r="BQ77" s="40"/>
      <c r="BT77" s="40"/>
      <c r="BW77" s="40"/>
      <c r="BZ77" s="40"/>
      <c r="CC77" s="40"/>
      <c r="CF77" s="40"/>
      <c r="CI77" s="40"/>
      <c r="CL77" s="40"/>
      <c r="CO77" s="40"/>
      <c r="CR77" s="40"/>
      <c r="CU77" s="40"/>
      <c r="CX77" s="40"/>
      <c r="DA77" s="40"/>
      <c r="DD77" s="40"/>
      <c r="DF77" s="47" t="s">
        <v>239</v>
      </c>
      <c r="DG77" s="100">
        <f>DG69+DG71+DG73+DG74</f>
        <v>1424.47</v>
      </c>
      <c r="DH77" s="40"/>
      <c r="DJ77" s="40"/>
      <c r="DL77" s="54">
        <v>13</v>
      </c>
      <c r="DM77" s="86" t="s">
        <v>243</v>
      </c>
      <c r="DN77" s="54">
        <f>3859.17-1030.56</f>
        <v>2828.61</v>
      </c>
      <c r="DO77" s="54">
        <v>208.39</v>
      </c>
      <c r="DP77" s="54">
        <v>18.39</v>
      </c>
      <c r="DQ77" s="54"/>
      <c r="DR77" s="54">
        <v>134.99</v>
      </c>
      <c r="DS77" s="54">
        <f>DN77+DO77+DP77+DQ77+DR77</f>
        <v>3190.38</v>
      </c>
      <c r="DT77" s="154" t="e">
        <f>#REF!</f>
        <v>#REF!</v>
      </c>
      <c r="DU77" s="20">
        <f>AP56/2</f>
        <v>60.88</v>
      </c>
      <c r="DV77" s="187">
        <f>AP51/4</f>
        <v>6.0600000000000005</v>
      </c>
      <c r="DW77" s="170">
        <f>AP31</f>
        <v>37.82</v>
      </c>
      <c r="DX77" s="93" t="e">
        <f t="shared" si="23"/>
        <v>#REF!</v>
      </c>
      <c r="DY77" s="94" t="e">
        <f t="shared" si="20"/>
        <v>#REF!</v>
      </c>
      <c r="DZ77" s="93" t="e">
        <f t="shared" si="21"/>
        <v>#REF!</v>
      </c>
      <c r="EA77" s="123" t="e">
        <f t="shared" ref="EA77:EA94" si="28">ROUND(DZ77*10.764/1,0)*1</f>
        <v>#REF!</v>
      </c>
      <c r="EB77" s="184" t="e">
        <f t="shared" ref="EB77:EB94" si="29">(EA77*$ED$54)/$EC$54</f>
        <v>#REF!</v>
      </c>
      <c r="EC77" s="96" t="e">
        <f t="shared" si="16"/>
        <v>#REF!</v>
      </c>
      <c r="ED77" s="54">
        <f t="shared" si="17"/>
        <v>18</v>
      </c>
      <c r="EE77" s="54" t="s">
        <v>458</v>
      </c>
      <c r="EF77" s="54" t="s">
        <v>217</v>
      </c>
      <c r="EG77" s="188" t="s">
        <v>487</v>
      </c>
      <c r="EH77" s="54"/>
      <c r="EI77" s="93">
        <v>341.33</v>
      </c>
      <c r="EJ77" s="54"/>
      <c r="EK77" s="54"/>
      <c r="EL77" s="176">
        <v>184.65441558441552</v>
      </c>
      <c r="EM77" s="176">
        <f t="shared" si="15"/>
        <v>525.9844155844155</v>
      </c>
      <c r="EN77" s="176">
        <v>122.15880383907442</v>
      </c>
      <c r="EO77" s="123">
        <f>EM77*EI184</f>
        <v>7.1730740183792845</v>
      </c>
      <c r="EP77" s="123">
        <f>EM77*EI185</f>
        <v>0.73084150375939871</v>
      </c>
      <c r="EQ77" s="123">
        <f>EM77*EL176</f>
        <v>7.017431846282375</v>
      </c>
      <c r="ER77" s="123">
        <f>EM77*EL177</f>
        <v>8.4723478028404369</v>
      </c>
    </row>
    <row r="78" spans="6:148" s="101" customFormat="1" ht="25.15" customHeight="1" x14ac:dyDescent="0.25">
      <c r="F78" s="40"/>
      <c r="I78" s="40"/>
      <c r="K78" s="47"/>
      <c r="L78" s="235"/>
      <c r="M78" s="236"/>
      <c r="AD78" s="40"/>
      <c r="AG78" s="40"/>
      <c r="AJ78" s="40"/>
      <c r="AM78" s="40"/>
      <c r="AO78" s="96"/>
      <c r="AP78" s="40"/>
      <c r="AS78" s="40"/>
      <c r="AV78" s="40"/>
      <c r="AY78" s="40"/>
      <c r="BB78" s="40"/>
      <c r="BE78" s="40"/>
      <c r="BH78" s="40"/>
      <c r="BK78" s="40"/>
      <c r="BN78" s="40"/>
      <c r="BQ78" s="40"/>
      <c r="BT78" s="40"/>
      <c r="BW78" s="40"/>
      <c r="BZ78" s="40"/>
      <c r="CC78" s="40"/>
      <c r="CF78" s="40"/>
      <c r="CI78" s="40"/>
      <c r="CL78" s="40"/>
      <c r="CO78" s="40"/>
      <c r="CR78" s="40"/>
      <c r="CU78" s="40"/>
      <c r="CX78" s="40"/>
      <c r="DA78" s="40"/>
      <c r="DD78" s="40"/>
      <c r="DG78" s="40"/>
      <c r="DH78" s="96"/>
      <c r="DJ78" s="96"/>
      <c r="DL78" s="54">
        <v>14</v>
      </c>
      <c r="DM78" s="86" t="s">
        <v>278</v>
      </c>
      <c r="DN78" s="54"/>
      <c r="DO78" s="54"/>
      <c r="DP78" s="54"/>
      <c r="DQ78" s="54"/>
      <c r="DR78" s="54"/>
      <c r="DS78" s="54"/>
      <c r="DT78" s="154">
        <f>AP65</f>
        <v>614.75</v>
      </c>
      <c r="DU78" s="20">
        <f>DU77</f>
        <v>60.88</v>
      </c>
      <c r="DV78" s="187">
        <f>AP51/4</f>
        <v>6.0600000000000005</v>
      </c>
      <c r="DW78" s="170">
        <f>AP33</f>
        <v>37.82</v>
      </c>
      <c r="DX78" s="93">
        <f t="shared" si="23"/>
        <v>719.51</v>
      </c>
      <c r="DY78" s="94">
        <f t="shared" si="20"/>
        <v>239.83666666666667</v>
      </c>
      <c r="DZ78" s="93">
        <f t="shared" si="21"/>
        <v>959.34666666666669</v>
      </c>
      <c r="EA78" s="123">
        <f t="shared" si="28"/>
        <v>10326</v>
      </c>
      <c r="EB78" s="184" t="e">
        <f t="shared" si="29"/>
        <v>#REF!</v>
      </c>
      <c r="EC78" s="96" t="e">
        <f t="shared" si="16"/>
        <v>#REF!</v>
      </c>
      <c r="ED78" s="54">
        <f t="shared" si="17"/>
        <v>19</v>
      </c>
      <c r="EE78" s="54" t="s">
        <v>458</v>
      </c>
      <c r="EF78" s="54" t="s">
        <v>217</v>
      </c>
      <c r="EG78" s="188" t="s">
        <v>488</v>
      </c>
      <c r="EH78" s="54"/>
      <c r="EI78" s="93">
        <v>412.96</v>
      </c>
      <c r="EJ78" s="54"/>
      <c r="EK78" s="54"/>
      <c r="EL78" s="176">
        <v>211.25818181818175</v>
      </c>
      <c r="EM78" s="176">
        <f t="shared" si="15"/>
        <v>624.21818181818173</v>
      </c>
      <c r="EN78" s="176">
        <v>144.96379424138837</v>
      </c>
      <c r="EO78" s="123">
        <f>EM78*EI184</f>
        <v>8.512729824561406</v>
      </c>
      <c r="EP78" s="123">
        <f>EM78*EI185</f>
        <v>0.8673347368421056</v>
      </c>
      <c r="EQ78" s="123">
        <f>EM78*EL176</f>
        <v>8.32801964912281</v>
      </c>
      <c r="ER78" s="123">
        <f>EM78*EL177</f>
        <v>10.054658245614037</v>
      </c>
    </row>
    <row r="79" spans="6:148" s="101" customFormat="1" ht="25.15" customHeight="1" x14ac:dyDescent="0.25">
      <c r="F79" s="40"/>
      <c r="I79" s="40"/>
      <c r="K79" s="47"/>
      <c r="L79" s="235"/>
      <c r="M79" s="236"/>
      <c r="AD79" s="40"/>
      <c r="AG79" s="40"/>
      <c r="AJ79" s="40"/>
      <c r="AM79" s="40"/>
      <c r="AO79" s="96"/>
      <c r="AP79" s="40"/>
      <c r="AS79" s="40"/>
      <c r="AV79" s="40"/>
      <c r="AY79" s="40"/>
      <c r="BB79" s="40"/>
      <c r="BE79" s="40"/>
      <c r="BH79" s="40"/>
      <c r="BK79" s="40"/>
      <c r="BN79" s="40"/>
      <c r="BQ79" s="40"/>
      <c r="BT79" s="40"/>
      <c r="BW79" s="40"/>
      <c r="BZ79" s="40"/>
      <c r="CC79" s="40"/>
      <c r="CF79" s="40"/>
      <c r="CI79" s="40"/>
      <c r="CL79" s="40"/>
      <c r="CO79" s="40"/>
      <c r="CR79" s="40"/>
      <c r="CU79" s="40"/>
      <c r="CX79" s="40"/>
      <c r="DA79" s="40"/>
      <c r="DD79" s="40"/>
      <c r="DG79" s="40"/>
      <c r="DH79" s="96"/>
      <c r="DJ79" s="96"/>
      <c r="DL79" s="54"/>
      <c r="DM79" s="86"/>
      <c r="DN79" s="54"/>
      <c r="DO79" s="54"/>
      <c r="DP79" s="54"/>
      <c r="DQ79" s="54"/>
      <c r="DR79" s="54"/>
      <c r="DS79" s="54"/>
      <c r="DT79" s="154"/>
      <c r="DU79" s="20"/>
      <c r="DV79" s="187"/>
      <c r="DW79" s="170"/>
      <c r="DX79" s="93"/>
      <c r="DY79" s="94"/>
      <c r="DZ79" s="93"/>
      <c r="EA79" s="123"/>
      <c r="EB79" s="184"/>
      <c r="EC79" s="96"/>
      <c r="ED79" s="54">
        <f t="shared" si="17"/>
        <v>20</v>
      </c>
      <c r="EE79" s="54" t="s">
        <v>458</v>
      </c>
      <c r="EF79" s="54" t="s">
        <v>218</v>
      </c>
      <c r="EG79" s="188" t="s">
        <v>489</v>
      </c>
      <c r="EH79" s="54"/>
      <c r="EI79" s="93">
        <v>594.63</v>
      </c>
      <c r="EJ79" s="54"/>
      <c r="EK79" s="54"/>
      <c r="EL79" s="176">
        <v>275.45831168831182</v>
      </c>
      <c r="EM79" s="176">
        <f t="shared" si="15"/>
        <v>870.08831168831182</v>
      </c>
      <c r="EN79" s="176">
        <v>202.07335866421246</v>
      </c>
      <c r="EO79" s="123">
        <f>EM79*EI184</f>
        <v>11.865765747702598</v>
      </c>
      <c r="EP79" s="123">
        <f>EM79*EI185</f>
        <v>1.208964812030076</v>
      </c>
      <c r="EQ79" s="123">
        <f>EM79*EL176</f>
        <v>11.608301019214711</v>
      </c>
      <c r="ER79" s="123">
        <f>EM79*EL177</f>
        <v>14.015036524644954</v>
      </c>
    </row>
    <row r="80" spans="6:148" s="101" customFormat="1" ht="25.15" customHeight="1" x14ac:dyDescent="0.25">
      <c r="F80" s="40"/>
      <c r="I80" s="40"/>
      <c r="K80" s="47"/>
      <c r="L80" s="235"/>
      <c r="M80" s="236"/>
      <c r="AD80" s="40"/>
      <c r="AG80" s="40"/>
      <c r="AJ80" s="40"/>
      <c r="AM80" s="40"/>
      <c r="AO80" s="96"/>
      <c r="AP80" s="40"/>
      <c r="AS80" s="40"/>
      <c r="AV80" s="40"/>
      <c r="AY80" s="40"/>
      <c r="BB80" s="40"/>
      <c r="BE80" s="40"/>
      <c r="BH80" s="40"/>
      <c r="BK80" s="40"/>
      <c r="BN80" s="40"/>
      <c r="BQ80" s="40"/>
      <c r="BT80" s="40"/>
      <c r="BW80" s="40"/>
      <c r="BZ80" s="40"/>
      <c r="CC80" s="40"/>
      <c r="CF80" s="40"/>
      <c r="CI80" s="40"/>
      <c r="CL80" s="40"/>
      <c r="CO80" s="40"/>
      <c r="CR80" s="40"/>
      <c r="CU80" s="40"/>
      <c r="CX80" s="40"/>
      <c r="DA80" s="40"/>
      <c r="DD80" s="40"/>
      <c r="DG80" s="40"/>
      <c r="DH80" s="96"/>
      <c r="DJ80" s="96"/>
      <c r="DL80" s="54"/>
      <c r="DM80" s="86"/>
      <c r="DN80" s="54"/>
      <c r="DO80" s="54"/>
      <c r="DP80" s="54"/>
      <c r="DQ80" s="54"/>
      <c r="DR80" s="54"/>
      <c r="DS80" s="54"/>
      <c r="DT80" s="154"/>
      <c r="DU80" s="20"/>
      <c r="DV80" s="187"/>
      <c r="DW80" s="170"/>
      <c r="DX80" s="93"/>
      <c r="DY80" s="94"/>
      <c r="DZ80" s="93"/>
      <c r="EA80" s="123"/>
      <c r="EB80" s="184"/>
      <c r="EC80" s="96"/>
      <c r="ED80" s="54">
        <f t="shared" si="17"/>
        <v>21</v>
      </c>
      <c r="EE80" s="54" t="s">
        <v>458</v>
      </c>
      <c r="EF80" s="54" t="s">
        <v>218</v>
      </c>
      <c r="EG80" s="188" t="s">
        <v>490</v>
      </c>
      <c r="EH80" s="54"/>
      <c r="EI80" s="93">
        <v>429.97</v>
      </c>
      <c r="EJ80" s="54"/>
      <c r="EK80" s="54"/>
      <c r="EL80" s="176">
        <v>235.54688311688301</v>
      </c>
      <c r="EM80" s="176">
        <f t="shared" si="15"/>
        <v>665.51688311688304</v>
      </c>
      <c r="EN80" s="176">
        <v>154.56475992637394</v>
      </c>
      <c r="EO80" s="123">
        <f>EM80*EI184</f>
        <v>9.0759378446115324</v>
      </c>
      <c r="EP80" s="123">
        <f>EM80*EI185</f>
        <v>0.92471819548872214</v>
      </c>
      <c r="EQ80" s="123">
        <f>EM80*EL176</f>
        <v>8.8790071177944885</v>
      </c>
      <c r="ER80" s="123">
        <f>EM80*EL177</f>
        <v>10.719881303258148</v>
      </c>
    </row>
    <row r="81" spans="2:148" s="101" customFormat="1" ht="25.15" customHeight="1" x14ac:dyDescent="0.25">
      <c r="F81" s="40"/>
      <c r="I81" s="40"/>
      <c r="K81" s="47"/>
      <c r="L81" s="235"/>
      <c r="M81" s="236"/>
      <c r="AD81" s="40"/>
      <c r="AG81" s="40"/>
      <c r="AJ81" s="40"/>
      <c r="AM81" s="40"/>
      <c r="AO81" s="96"/>
      <c r="AP81" s="40"/>
      <c r="AS81" s="40"/>
      <c r="AV81" s="40"/>
      <c r="AY81" s="40"/>
      <c r="BB81" s="40"/>
      <c r="BE81" s="40"/>
      <c r="BH81" s="40"/>
      <c r="BK81" s="40"/>
      <c r="BN81" s="40"/>
      <c r="BQ81" s="40"/>
      <c r="BT81" s="40"/>
      <c r="BW81" s="40"/>
      <c r="BZ81" s="40"/>
      <c r="CC81" s="40"/>
      <c r="CF81" s="40"/>
      <c r="CI81" s="40"/>
      <c r="CL81" s="40"/>
      <c r="CO81" s="40"/>
      <c r="CR81" s="40"/>
      <c r="CU81" s="40"/>
      <c r="CX81" s="40"/>
      <c r="DA81" s="40"/>
      <c r="DD81" s="40"/>
      <c r="DG81" s="40"/>
      <c r="DH81" s="96"/>
      <c r="DJ81" s="96"/>
      <c r="DL81" s="54"/>
      <c r="DM81" s="86"/>
      <c r="DN81" s="54"/>
      <c r="DO81" s="54"/>
      <c r="DP81" s="54"/>
      <c r="DQ81" s="54"/>
      <c r="DR81" s="54"/>
      <c r="DS81" s="54"/>
      <c r="DT81" s="154"/>
      <c r="DU81" s="20"/>
      <c r="DV81" s="187"/>
      <c r="DW81" s="170"/>
      <c r="DX81" s="93"/>
      <c r="DY81" s="94"/>
      <c r="DZ81" s="93"/>
      <c r="EA81" s="123"/>
      <c r="EB81" s="184"/>
      <c r="EC81" s="96"/>
      <c r="ED81" s="54">
        <f t="shared" si="17"/>
        <v>22</v>
      </c>
      <c r="EE81" s="54" t="s">
        <v>458</v>
      </c>
      <c r="EF81" s="54" t="s">
        <v>218</v>
      </c>
      <c r="EG81" s="188" t="s">
        <v>491</v>
      </c>
      <c r="EH81" s="54"/>
      <c r="EI81" s="93">
        <v>430.5</v>
      </c>
      <c r="EJ81" s="54"/>
      <c r="EK81" s="54"/>
      <c r="EL81" s="176">
        <v>229.12077922077924</v>
      </c>
      <c r="EM81" s="176">
        <f t="shared" si="15"/>
        <v>659.62077922077924</v>
      </c>
      <c r="EN81" s="176">
        <v>153.1839468840389</v>
      </c>
      <c r="EO81" s="123">
        <f>EM81*EI184</f>
        <v>8.9955301587301637</v>
      </c>
      <c r="EP81" s="123">
        <f>EM81*EI185</f>
        <v>0.91652571428571472</v>
      </c>
      <c r="EQ81" s="123">
        <f>EM81*EL176</f>
        <v>8.8003441269841307</v>
      </c>
      <c r="ER81" s="123">
        <f>EM81*EL177</f>
        <v>10.62490920634921</v>
      </c>
    </row>
    <row r="82" spans="2:148" s="101" customFormat="1" ht="25.15" customHeight="1" x14ac:dyDescent="0.25">
      <c r="F82" s="40"/>
      <c r="I82" s="40"/>
      <c r="K82" s="47"/>
      <c r="L82" s="235"/>
      <c r="M82" s="236"/>
      <c r="AD82" s="40"/>
      <c r="AG82" s="40"/>
      <c r="AJ82" s="40"/>
      <c r="AM82" s="40"/>
      <c r="AO82" s="96"/>
      <c r="AP82" s="40"/>
      <c r="AS82" s="40"/>
      <c r="AV82" s="40"/>
      <c r="AY82" s="40"/>
      <c r="BB82" s="40"/>
      <c r="BE82" s="40"/>
      <c r="BH82" s="40"/>
      <c r="BK82" s="40"/>
      <c r="BN82" s="40"/>
      <c r="BQ82" s="40"/>
      <c r="BT82" s="40"/>
      <c r="BW82" s="40"/>
      <c r="BZ82" s="40"/>
      <c r="CC82" s="40"/>
      <c r="CF82" s="40"/>
      <c r="CI82" s="40"/>
      <c r="CL82" s="40"/>
      <c r="CO82" s="40"/>
      <c r="CR82" s="40"/>
      <c r="CU82" s="40"/>
      <c r="CX82" s="40"/>
      <c r="DA82" s="40"/>
      <c r="DD82" s="40"/>
      <c r="DG82" s="40"/>
      <c r="DH82" s="96"/>
      <c r="DJ82" s="96"/>
      <c r="DL82" s="54"/>
      <c r="DM82" s="86"/>
      <c r="DN82" s="54"/>
      <c r="DO82" s="54"/>
      <c r="DP82" s="54"/>
      <c r="DQ82" s="54"/>
      <c r="DR82" s="54"/>
      <c r="DS82" s="54"/>
      <c r="DT82" s="154"/>
      <c r="DU82" s="20"/>
      <c r="DV82" s="187"/>
      <c r="DW82" s="170"/>
      <c r="DX82" s="93"/>
      <c r="DY82" s="94"/>
      <c r="DZ82" s="93"/>
      <c r="EA82" s="123"/>
      <c r="EB82" s="184"/>
      <c r="EC82" s="96"/>
      <c r="ED82" s="54">
        <f t="shared" si="17"/>
        <v>23</v>
      </c>
      <c r="EE82" s="54" t="s">
        <v>458</v>
      </c>
      <c r="EF82" s="54" t="s">
        <v>218</v>
      </c>
      <c r="EG82" s="188" t="s">
        <v>492</v>
      </c>
      <c r="EH82" s="54"/>
      <c r="EI82" s="93">
        <v>341.33</v>
      </c>
      <c r="EJ82" s="54"/>
      <c r="EK82" s="54"/>
      <c r="EL82" s="176">
        <v>184.65441558441552</v>
      </c>
      <c r="EM82" s="176">
        <f t="shared" si="15"/>
        <v>525.9844155844155</v>
      </c>
      <c r="EN82" s="176">
        <v>122.15880383907442</v>
      </c>
      <c r="EO82" s="123">
        <f>EM82*EI184</f>
        <v>7.1730740183792845</v>
      </c>
      <c r="EP82" s="123">
        <f>EM82*EI185</f>
        <v>0.73084150375939871</v>
      </c>
      <c r="EQ82" s="123">
        <f>EM82*EL176</f>
        <v>7.017431846282375</v>
      </c>
      <c r="ER82" s="123">
        <f>EM82*EL177</f>
        <v>8.4723478028404369</v>
      </c>
    </row>
    <row r="83" spans="2:148" s="101" customFormat="1" ht="25.15" customHeight="1" x14ac:dyDescent="0.25">
      <c r="F83" s="40"/>
      <c r="I83" s="40"/>
      <c r="K83" s="47"/>
      <c r="L83" s="235"/>
      <c r="M83" s="236"/>
      <c r="AD83" s="40"/>
      <c r="AG83" s="40"/>
      <c r="AJ83" s="40"/>
      <c r="AM83" s="40"/>
      <c r="AO83" s="96"/>
      <c r="AP83" s="40"/>
      <c r="AS83" s="40"/>
      <c r="AV83" s="40"/>
      <c r="AY83" s="40"/>
      <c r="BB83" s="40"/>
      <c r="BE83" s="40"/>
      <c r="BH83" s="40"/>
      <c r="BK83" s="40"/>
      <c r="BN83" s="40"/>
      <c r="BQ83" s="40"/>
      <c r="BT83" s="40"/>
      <c r="BW83" s="40"/>
      <c r="BZ83" s="40"/>
      <c r="CC83" s="40"/>
      <c r="CF83" s="40"/>
      <c r="CI83" s="40"/>
      <c r="CL83" s="40"/>
      <c r="CO83" s="40"/>
      <c r="CR83" s="40"/>
      <c r="CU83" s="40"/>
      <c r="CX83" s="40"/>
      <c r="DA83" s="40"/>
      <c r="DD83" s="40"/>
      <c r="DG83" s="40"/>
      <c r="DH83" s="96"/>
      <c r="DJ83" s="96"/>
      <c r="DL83" s="54"/>
      <c r="DM83" s="86"/>
      <c r="DN83" s="54"/>
      <c r="DO83" s="54"/>
      <c r="DP83" s="54"/>
      <c r="DQ83" s="54"/>
      <c r="DR83" s="54"/>
      <c r="DS83" s="54"/>
      <c r="DT83" s="154"/>
      <c r="DU83" s="20"/>
      <c r="DV83" s="187"/>
      <c r="DW83" s="170"/>
      <c r="DX83" s="93"/>
      <c r="DY83" s="94"/>
      <c r="DZ83" s="93"/>
      <c r="EA83" s="123"/>
      <c r="EB83" s="184"/>
      <c r="EC83" s="96"/>
      <c r="ED83" s="54">
        <f t="shared" si="17"/>
        <v>24</v>
      </c>
      <c r="EE83" s="54" t="s">
        <v>458</v>
      </c>
      <c r="EF83" s="54" t="s">
        <v>218</v>
      </c>
      <c r="EG83" s="188" t="s">
        <v>493</v>
      </c>
      <c r="EH83" s="54"/>
      <c r="EI83" s="93">
        <v>412.96</v>
      </c>
      <c r="EJ83" s="54"/>
      <c r="EK83" s="54"/>
      <c r="EL83" s="176">
        <v>211.25818181818175</v>
      </c>
      <c r="EM83" s="176">
        <f t="shared" si="15"/>
        <v>624.21818181818173</v>
      </c>
      <c r="EN83" s="176">
        <v>144.96379424138837</v>
      </c>
      <c r="EO83" s="123">
        <f>EM83*EI184</f>
        <v>8.512729824561406</v>
      </c>
      <c r="EP83" s="123">
        <f>EM83*EI185</f>
        <v>0.8673347368421056</v>
      </c>
      <c r="EQ83" s="123">
        <f>EM83*EL176</f>
        <v>8.32801964912281</v>
      </c>
      <c r="ER83" s="123">
        <f>EM83*EL177</f>
        <v>10.054658245614037</v>
      </c>
    </row>
    <row r="84" spans="2:148" s="101" customFormat="1" ht="25.15" customHeight="1" x14ac:dyDescent="0.25">
      <c r="F84" s="40"/>
      <c r="I84" s="40"/>
      <c r="K84" s="47"/>
      <c r="L84" s="235"/>
      <c r="M84" s="236"/>
      <c r="AD84" s="40"/>
      <c r="AG84" s="40"/>
      <c r="AJ84" s="40"/>
      <c r="AM84" s="40"/>
      <c r="AO84" s="96"/>
      <c r="AP84" s="40"/>
      <c r="AS84" s="40"/>
      <c r="AV84" s="40"/>
      <c r="AY84" s="40"/>
      <c r="BB84" s="40"/>
      <c r="BE84" s="40"/>
      <c r="BH84" s="40"/>
      <c r="BK84" s="40"/>
      <c r="BN84" s="40"/>
      <c r="BQ84" s="40"/>
      <c r="BT84" s="40"/>
      <c r="BW84" s="40"/>
      <c r="BZ84" s="40"/>
      <c r="CC84" s="40"/>
      <c r="CF84" s="40"/>
      <c r="CI84" s="40"/>
      <c r="CL84" s="40"/>
      <c r="CO84" s="40"/>
      <c r="CR84" s="40"/>
      <c r="CU84" s="40"/>
      <c r="CX84" s="40"/>
      <c r="DA84" s="40"/>
      <c r="DD84" s="40"/>
      <c r="DG84" s="40"/>
      <c r="DH84" s="96"/>
      <c r="DJ84" s="96"/>
      <c r="DL84" s="54"/>
      <c r="DM84" s="86"/>
      <c r="DN84" s="54"/>
      <c r="DO84" s="54"/>
      <c r="DP84" s="54"/>
      <c r="DQ84" s="54"/>
      <c r="DR84" s="54"/>
      <c r="DS84" s="54"/>
      <c r="DT84" s="154"/>
      <c r="DU84" s="20"/>
      <c r="DV84" s="187"/>
      <c r="DW84" s="170"/>
      <c r="DX84" s="93"/>
      <c r="DY84" s="94"/>
      <c r="DZ84" s="93"/>
      <c r="EA84" s="123"/>
      <c r="EB84" s="184"/>
      <c r="EC84" s="96"/>
      <c r="ED84" s="54">
        <f t="shared" si="17"/>
        <v>25</v>
      </c>
      <c r="EE84" s="54" t="s">
        <v>458</v>
      </c>
      <c r="EF84" s="54" t="s">
        <v>334</v>
      </c>
      <c r="EG84" s="188" t="s">
        <v>494</v>
      </c>
      <c r="EH84" s="54"/>
      <c r="EI84" s="93">
        <v>459.36</v>
      </c>
      <c r="EJ84" s="54"/>
      <c r="EK84" s="54"/>
      <c r="EL84" s="176">
        <v>222.00363636363636</v>
      </c>
      <c r="EM84" s="176">
        <f t="shared" si="15"/>
        <v>681.36363636363637</v>
      </c>
      <c r="EN84" s="176">
        <v>158.23254457007627</v>
      </c>
      <c r="EO84" s="123">
        <f>EM84*EI184</f>
        <v>9.2920467836257359</v>
      </c>
      <c r="EP84" s="123">
        <f>EM84*EI185</f>
        <v>0.94673684210526365</v>
      </c>
      <c r="EQ84" s="123">
        <f>EM84*EL176</f>
        <v>9.0904269005848004</v>
      </c>
      <c r="ER84" s="123">
        <f>EM84*EL177</f>
        <v>10.97513450292398</v>
      </c>
    </row>
    <row r="85" spans="2:148" s="101" customFormat="1" ht="25.15" customHeight="1" x14ac:dyDescent="0.25">
      <c r="F85" s="40"/>
      <c r="I85" s="40"/>
      <c r="K85" s="47"/>
      <c r="L85" s="235"/>
      <c r="M85" s="236"/>
      <c r="AD85" s="40"/>
      <c r="AG85" s="40"/>
      <c r="AJ85" s="40"/>
      <c r="AM85" s="40"/>
      <c r="AO85" s="96"/>
      <c r="AP85" s="40"/>
      <c r="AS85" s="40"/>
      <c r="AV85" s="40"/>
      <c r="AY85" s="40"/>
      <c r="BB85" s="40"/>
      <c r="BE85" s="40"/>
      <c r="BH85" s="40"/>
      <c r="BK85" s="40"/>
      <c r="BN85" s="40"/>
      <c r="BQ85" s="40"/>
      <c r="BT85" s="40"/>
      <c r="BW85" s="40"/>
      <c r="BZ85" s="40"/>
      <c r="CC85" s="40"/>
      <c r="CF85" s="40"/>
      <c r="CI85" s="40"/>
      <c r="CL85" s="40"/>
      <c r="CO85" s="40"/>
      <c r="CR85" s="40"/>
      <c r="CU85" s="40"/>
      <c r="CX85" s="40"/>
      <c r="DA85" s="40"/>
      <c r="DD85" s="40"/>
      <c r="DG85" s="40"/>
      <c r="DH85" s="96"/>
      <c r="DJ85" s="96"/>
      <c r="DL85" s="54"/>
      <c r="DM85" s="86"/>
      <c r="DN85" s="54"/>
      <c r="DO85" s="54"/>
      <c r="DP85" s="54"/>
      <c r="DQ85" s="54"/>
      <c r="DR85" s="54"/>
      <c r="DS85" s="54"/>
      <c r="DT85" s="154"/>
      <c r="DU85" s="20"/>
      <c r="DV85" s="187"/>
      <c r="DW85" s="170"/>
      <c r="DX85" s="93"/>
      <c r="DY85" s="94"/>
      <c r="DZ85" s="93"/>
      <c r="EA85" s="123"/>
      <c r="EB85" s="184"/>
      <c r="EC85" s="96"/>
      <c r="ED85" s="54">
        <f t="shared" si="17"/>
        <v>26</v>
      </c>
      <c r="EE85" s="54" t="s">
        <v>458</v>
      </c>
      <c r="EF85" s="54" t="s">
        <v>334</v>
      </c>
      <c r="EG85" s="188" t="s">
        <v>495</v>
      </c>
      <c r="EH85" s="54"/>
      <c r="EI85" s="93">
        <v>435.06</v>
      </c>
      <c r="EJ85" s="54"/>
      <c r="EK85" s="54"/>
      <c r="EL85" s="176">
        <v>230.26467532467524</v>
      </c>
      <c r="EM85" s="176">
        <f t="shared" si="15"/>
        <v>665.32467532467524</v>
      </c>
      <c r="EN85" s="176">
        <v>154.52160951880094</v>
      </c>
      <c r="EO85" s="123">
        <f>EM85*EI184</f>
        <v>9.0733166248955754</v>
      </c>
      <c r="EP85" s="123">
        <f>EM85*EI185</f>
        <v>0.92445112781954919</v>
      </c>
      <c r="EQ85" s="123">
        <f>EM85*EL176</f>
        <v>8.8764427736006706</v>
      </c>
      <c r="ER85" s="123">
        <f>EM85*EL177</f>
        <v>10.716785296574773</v>
      </c>
    </row>
    <row r="86" spans="2:148" s="101" customFormat="1" ht="25.15" customHeight="1" x14ac:dyDescent="0.25">
      <c r="F86" s="40"/>
      <c r="I86" s="40"/>
      <c r="K86" s="47"/>
      <c r="L86" s="235"/>
      <c r="M86" s="236"/>
      <c r="AD86" s="40"/>
      <c r="AG86" s="40"/>
      <c r="AJ86" s="40"/>
      <c r="AM86" s="40"/>
      <c r="AO86" s="96"/>
      <c r="AP86" s="40"/>
      <c r="AS86" s="40"/>
      <c r="AV86" s="40"/>
      <c r="AY86" s="40"/>
      <c r="BB86" s="40"/>
      <c r="BE86" s="40"/>
      <c r="BH86" s="40"/>
      <c r="BK86" s="40"/>
      <c r="BN86" s="40"/>
      <c r="BQ86" s="40"/>
      <c r="BT86" s="40"/>
      <c r="BW86" s="40"/>
      <c r="BZ86" s="40"/>
      <c r="CC86" s="40"/>
      <c r="CF86" s="40"/>
      <c r="CI86" s="40"/>
      <c r="CL86" s="40"/>
      <c r="CO86" s="40"/>
      <c r="CR86" s="40"/>
      <c r="CU86" s="40"/>
      <c r="CX86" s="40"/>
      <c r="DA86" s="40"/>
      <c r="DD86" s="40"/>
      <c r="DG86" s="40"/>
      <c r="DH86" s="96"/>
      <c r="DJ86" s="96"/>
      <c r="DL86" s="54"/>
      <c r="DM86" s="86"/>
      <c r="DN86" s="54"/>
      <c r="DO86" s="54"/>
      <c r="DP86" s="54"/>
      <c r="DQ86" s="54"/>
      <c r="DR86" s="54"/>
      <c r="DS86" s="54"/>
      <c r="DT86" s="154"/>
      <c r="DU86" s="20"/>
      <c r="DV86" s="187"/>
      <c r="DW86" s="170"/>
      <c r="DX86" s="93"/>
      <c r="DY86" s="94"/>
      <c r="DZ86" s="93"/>
      <c r="EA86" s="123"/>
      <c r="EB86" s="184"/>
      <c r="EC86" s="96"/>
      <c r="ED86" s="54">
        <f t="shared" si="17"/>
        <v>27</v>
      </c>
      <c r="EE86" s="54" t="s">
        <v>458</v>
      </c>
      <c r="EF86" s="54" t="s">
        <v>334</v>
      </c>
      <c r="EG86" s="188" t="s">
        <v>496</v>
      </c>
      <c r="EH86" s="54"/>
      <c r="EI86" s="93">
        <v>435.31</v>
      </c>
      <c r="EJ86" s="54"/>
      <c r="EK86" s="54"/>
      <c r="EL86" s="176">
        <v>221.67701298701292</v>
      </c>
      <c r="EM86" s="176">
        <f t="shared" si="15"/>
        <v>656.98701298701292</v>
      </c>
      <c r="EN86" s="176">
        <v>152.57984117801735</v>
      </c>
      <c r="EO86" s="123">
        <f>EM86*EI184</f>
        <v>8.9596123642439469</v>
      </c>
      <c r="EP86" s="123">
        <f>EM86*EI185</f>
        <v>0.91286616541353416</v>
      </c>
      <c r="EQ86" s="123">
        <f>EM86*EL176</f>
        <v>8.7652056808688421</v>
      </c>
      <c r="ER86" s="123">
        <f>EM86*EL177</f>
        <v>10.58248554720134</v>
      </c>
    </row>
    <row r="87" spans="2:148" s="101" customFormat="1" ht="25.15" customHeight="1" x14ac:dyDescent="0.25">
      <c r="F87" s="40"/>
      <c r="I87" s="40"/>
      <c r="K87" s="47"/>
      <c r="L87" s="235"/>
      <c r="M87" s="236"/>
      <c r="AD87" s="40"/>
      <c r="AG87" s="40"/>
      <c r="AJ87" s="40"/>
      <c r="AM87" s="40"/>
      <c r="AO87" s="96"/>
      <c r="AP87" s="40"/>
      <c r="AS87" s="40"/>
      <c r="AV87" s="40"/>
      <c r="AY87" s="40"/>
      <c r="BB87" s="40"/>
      <c r="BE87" s="40"/>
      <c r="BH87" s="40"/>
      <c r="BK87" s="40"/>
      <c r="BN87" s="40"/>
      <c r="BQ87" s="40"/>
      <c r="BT87" s="40"/>
      <c r="BW87" s="40"/>
      <c r="BZ87" s="40"/>
      <c r="CC87" s="40"/>
      <c r="CF87" s="40"/>
      <c r="CI87" s="40"/>
      <c r="CL87" s="40"/>
      <c r="CO87" s="40"/>
      <c r="CR87" s="40"/>
      <c r="CU87" s="40"/>
      <c r="CX87" s="40"/>
      <c r="DA87" s="40"/>
      <c r="DD87" s="40"/>
      <c r="DG87" s="40"/>
      <c r="DH87" s="96"/>
      <c r="DJ87" s="96"/>
      <c r="DL87" s="54"/>
      <c r="DM87" s="86"/>
      <c r="DN87" s="54"/>
      <c r="DO87" s="54"/>
      <c r="DP87" s="54"/>
      <c r="DQ87" s="54"/>
      <c r="DR87" s="54"/>
      <c r="DS87" s="54"/>
      <c r="DT87" s="154"/>
      <c r="DU87" s="20"/>
      <c r="DV87" s="187"/>
      <c r="DW87" s="170"/>
      <c r="DX87" s="93"/>
      <c r="DY87" s="94"/>
      <c r="DZ87" s="93"/>
      <c r="EA87" s="123"/>
      <c r="EB87" s="184"/>
      <c r="EC87" s="96"/>
      <c r="ED87" s="54">
        <f t="shared" si="17"/>
        <v>28</v>
      </c>
      <c r="EE87" s="54" t="s">
        <v>458</v>
      </c>
      <c r="EF87" s="54" t="s">
        <v>334</v>
      </c>
      <c r="EG87" s="188" t="s">
        <v>497</v>
      </c>
      <c r="EH87" s="54"/>
      <c r="EI87" s="93">
        <v>342.44</v>
      </c>
      <c r="EJ87" s="54"/>
      <c r="EK87" s="54"/>
      <c r="EL87" s="176">
        <v>181.31324675324669</v>
      </c>
      <c r="EM87" s="176">
        <f t="shared" si="15"/>
        <v>523.75324675324669</v>
      </c>
      <c r="EN87" s="176">
        <v>121.6409989481988</v>
      </c>
      <c r="EO87" s="123">
        <f>EM87*EI184</f>
        <v>7.1426466165413558</v>
      </c>
      <c r="EP87" s="123">
        <f>EM87*EI185</f>
        <v>0.72774135338345891</v>
      </c>
      <c r="EQ87" s="123">
        <f>EM87*EL176</f>
        <v>6.9876646616541374</v>
      </c>
      <c r="ER87" s="123">
        <f>EM87*EL177</f>
        <v>8.4364090225563935</v>
      </c>
    </row>
    <row r="88" spans="2:148" s="101" customFormat="1" ht="25.15" customHeight="1" x14ac:dyDescent="0.25">
      <c r="F88" s="40"/>
      <c r="I88" s="40"/>
      <c r="K88" s="47"/>
      <c r="L88" s="235"/>
      <c r="M88" s="236"/>
      <c r="AD88" s="40"/>
      <c r="AG88" s="40"/>
      <c r="AJ88" s="40"/>
      <c r="AM88" s="40"/>
      <c r="AO88" s="96"/>
      <c r="AP88" s="40"/>
      <c r="AS88" s="40"/>
      <c r="AV88" s="40"/>
      <c r="AY88" s="40"/>
      <c r="BB88" s="40"/>
      <c r="BE88" s="40"/>
      <c r="BH88" s="40"/>
      <c r="BK88" s="40"/>
      <c r="BN88" s="40"/>
      <c r="BQ88" s="40"/>
      <c r="BT88" s="40"/>
      <c r="BW88" s="40"/>
      <c r="BZ88" s="40"/>
      <c r="CC88" s="40"/>
      <c r="CF88" s="40"/>
      <c r="CI88" s="40"/>
      <c r="CL88" s="40"/>
      <c r="CO88" s="40"/>
      <c r="CR88" s="40"/>
      <c r="CU88" s="40"/>
      <c r="CX88" s="40"/>
      <c r="DA88" s="40"/>
      <c r="DD88" s="40"/>
      <c r="DG88" s="40"/>
      <c r="DH88" s="96"/>
      <c r="DJ88" s="96"/>
      <c r="DL88" s="54"/>
      <c r="DM88" s="86"/>
      <c r="DN88" s="54"/>
      <c r="DO88" s="54"/>
      <c r="DP88" s="54"/>
      <c r="DQ88" s="54"/>
      <c r="DR88" s="54"/>
      <c r="DS88" s="54"/>
      <c r="DT88" s="154"/>
      <c r="DU88" s="20"/>
      <c r="DV88" s="187"/>
      <c r="DW88" s="170"/>
      <c r="DX88" s="93"/>
      <c r="DY88" s="94"/>
      <c r="DZ88" s="93"/>
      <c r="EA88" s="123"/>
      <c r="EB88" s="184"/>
      <c r="EC88" s="96"/>
      <c r="ED88" s="54">
        <f t="shared" si="17"/>
        <v>29</v>
      </c>
      <c r="EE88" s="54" t="s">
        <v>458</v>
      </c>
      <c r="EF88" s="54" t="s">
        <v>334</v>
      </c>
      <c r="EG88" s="188" t="s">
        <v>498</v>
      </c>
      <c r="EH88" s="54"/>
      <c r="EI88" s="93">
        <v>348.94</v>
      </c>
      <c r="EJ88" s="54"/>
      <c r="EK88" s="54"/>
      <c r="EL88" s="176">
        <v>184.57948051948057</v>
      </c>
      <c r="EM88" s="176">
        <f t="shared" si="15"/>
        <v>533.51948051948057</v>
      </c>
      <c r="EN88" s="176">
        <v>123.90639534577964</v>
      </c>
      <c r="EO88" s="123">
        <f>EM88*EI184</f>
        <v>7.2758329156223933</v>
      </c>
      <c r="EP88" s="123">
        <f>EM88*EI185</f>
        <v>0.74131127819548914</v>
      </c>
      <c r="EQ88" s="123">
        <f>EM88*EL176</f>
        <v>7.117961069340021</v>
      </c>
      <c r="ER88" s="123">
        <f>EM88*EL177</f>
        <v>8.5937196324143734</v>
      </c>
    </row>
    <row r="89" spans="2:148" s="101" customFormat="1" ht="25.15" customHeight="1" x14ac:dyDescent="0.25">
      <c r="F89" s="40"/>
      <c r="I89" s="40"/>
      <c r="K89" s="47"/>
      <c r="L89" s="235"/>
      <c r="M89" s="236"/>
      <c r="AD89" s="40"/>
      <c r="AG89" s="40"/>
      <c r="AJ89" s="40"/>
      <c r="AM89" s="40"/>
      <c r="AO89" s="96"/>
      <c r="AP89" s="40"/>
      <c r="AS89" s="40"/>
      <c r="AV89" s="40"/>
      <c r="AY89" s="40"/>
      <c r="BB89" s="40"/>
      <c r="BE89" s="40"/>
      <c r="BH89" s="40"/>
      <c r="BK89" s="40"/>
      <c r="BN89" s="40"/>
      <c r="BQ89" s="40"/>
      <c r="BT89" s="40"/>
      <c r="BW89" s="40"/>
      <c r="BZ89" s="40"/>
      <c r="CC89" s="40"/>
      <c r="CF89" s="40"/>
      <c r="CI89" s="40"/>
      <c r="CL89" s="40"/>
      <c r="CO89" s="40"/>
      <c r="CR89" s="40"/>
      <c r="CU89" s="40"/>
      <c r="CX89" s="40"/>
      <c r="DA89" s="40"/>
      <c r="DD89" s="40"/>
      <c r="DG89" s="40"/>
      <c r="DH89" s="96"/>
      <c r="DJ89" s="96"/>
      <c r="DL89" s="54"/>
      <c r="DM89" s="86"/>
      <c r="DN89" s="54"/>
      <c r="DO89" s="54"/>
      <c r="DP89" s="54"/>
      <c r="DQ89" s="54"/>
      <c r="DR89" s="54"/>
      <c r="DS89" s="54"/>
      <c r="DT89" s="154"/>
      <c r="DU89" s="20"/>
      <c r="DV89" s="187"/>
      <c r="DW89" s="170"/>
      <c r="DX89" s="93"/>
      <c r="DY89" s="94"/>
      <c r="DZ89" s="93"/>
      <c r="EA89" s="123"/>
      <c r="EB89" s="184"/>
      <c r="EC89" s="96"/>
      <c r="ED89" s="54">
        <f t="shared" si="17"/>
        <v>30</v>
      </c>
      <c r="EE89" s="54" t="s">
        <v>458</v>
      </c>
      <c r="EF89" s="54" t="s">
        <v>335</v>
      </c>
      <c r="EG89" s="188" t="s">
        <v>499</v>
      </c>
      <c r="EH89" s="54"/>
      <c r="EI89" s="93">
        <v>595.55999999999995</v>
      </c>
      <c r="EJ89" s="54"/>
      <c r="EK89" s="54"/>
      <c r="EL89" s="176">
        <v>273.8659740259742</v>
      </c>
      <c r="EM89" s="176">
        <f t="shared" si="15"/>
        <v>869.42597402597414</v>
      </c>
      <c r="EN89" s="176">
        <v>201.92233223770708</v>
      </c>
      <c r="EO89" s="123">
        <f>EM89*EI184</f>
        <v>11.856733166248963</v>
      </c>
      <c r="EP89" s="123">
        <f>EM89*EI185</f>
        <v>1.2080445112781963</v>
      </c>
      <c r="EQ89" s="123">
        <f>EM89*EL176</f>
        <v>11.599464427736013</v>
      </c>
      <c r="ER89" s="123">
        <f>EM89*EL177</f>
        <v>14.004367852965755</v>
      </c>
    </row>
    <row r="90" spans="2:148" s="101" customFormat="1" ht="25.15" customHeight="1" x14ac:dyDescent="0.25">
      <c r="F90" s="40"/>
      <c r="I90" s="40"/>
      <c r="K90" s="47"/>
      <c r="L90" s="235"/>
      <c r="M90" s="236"/>
      <c r="AD90" s="40"/>
      <c r="AG90" s="40"/>
      <c r="AJ90" s="40"/>
      <c r="AM90" s="40"/>
      <c r="AO90" s="96"/>
      <c r="AP90" s="40"/>
      <c r="AS90" s="40"/>
      <c r="AV90" s="40"/>
      <c r="AY90" s="40"/>
      <c r="BB90" s="40"/>
      <c r="BE90" s="40"/>
      <c r="BH90" s="40"/>
      <c r="BK90" s="40"/>
      <c r="BN90" s="40"/>
      <c r="BQ90" s="40"/>
      <c r="BT90" s="40"/>
      <c r="BW90" s="40"/>
      <c r="BZ90" s="40"/>
      <c r="CC90" s="40"/>
      <c r="CF90" s="40"/>
      <c r="CI90" s="40"/>
      <c r="CL90" s="40"/>
      <c r="CO90" s="40"/>
      <c r="CR90" s="40"/>
      <c r="CU90" s="40"/>
      <c r="CX90" s="40"/>
      <c r="DA90" s="40"/>
      <c r="DD90" s="40"/>
      <c r="DG90" s="40"/>
      <c r="DH90" s="96"/>
      <c r="DJ90" s="96"/>
      <c r="DL90" s="54"/>
      <c r="DM90" s="86"/>
      <c r="DN90" s="54"/>
      <c r="DO90" s="54"/>
      <c r="DP90" s="54"/>
      <c r="DQ90" s="54"/>
      <c r="DR90" s="54"/>
      <c r="DS90" s="54"/>
      <c r="DT90" s="154"/>
      <c r="DU90" s="20"/>
      <c r="DV90" s="187"/>
      <c r="DW90" s="170"/>
      <c r="DX90" s="93"/>
      <c r="DY90" s="94"/>
      <c r="DZ90" s="93"/>
      <c r="EA90" s="123"/>
      <c r="EB90" s="184"/>
      <c r="EC90" s="96"/>
      <c r="ED90" s="54">
        <f t="shared" si="17"/>
        <v>31</v>
      </c>
      <c r="EE90" s="54" t="s">
        <v>458</v>
      </c>
      <c r="EF90" s="54" t="s">
        <v>335</v>
      </c>
      <c r="EG90" s="188" t="s">
        <v>500</v>
      </c>
      <c r="EH90" s="54"/>
      <c r="EI90" s="93">
        <v>434.89</v>
      </c>
      <c r="EJ90" s="54"/>
      <c r="EK90" s="54"/>
      <c r="EL90" s="176">
        <v>232.73077922077925</v>
      </c>
      <c r="EM90" s="176">
        <f t="shared" si="15"/>
        <v>667.62077922077924</v>
      </c>
      <c r="EN90" s="176">
        <v>155.03941440967657</v>
      </c>
      <c r="EO90" s="123">
        <f>EM90*EI184</f>
        <v>9.104629573934842</v>
      </c>
      <c r="EP90" s="123">
        <f>EM90*EI185</f>
        <v>0.92764150375939902</v>
      </c>
      <c r="EQ90" s="123">
        <f>EM90*EL176</f>
        <v>8.9070762907268222</v>
      </c>
      <c r="ER90" s="123">
        <f>EM90*EL177</f>
        <v>10.753770025062661</v>
      </c>
    </row>
    <row r="91" spans="2:148" s="101" customFormat="1" ht="25.15" customHeight="1" x14ac:dyDescent="0.25">
      <c r="F91" s="40"/>
      <c r="I91" s="40"/>
      <c r="K91" s="47"/>
      <c r="L91" s="235"/>
      <c r="M91" s="236"/>
      <c r="AD91" s="40"/>
      <c r="AG91" s="40"/>
      <c r="AJ91" s="40"/>
      <c r="AM91" s="40"/>
      <c r="AO91" s="96"/>
      <c r="AP91" s="40"/>
      <c r="AS91" s="40"/>
      <c r="AV91" s="40"/>
      <c r="AY91" s="40"/>
      <c r="BB91" s="40"/>
      <c r="BE91" s="40"/>
      <c r="BH91" s="40"/>
      <c r="BK91" s="40"/>
      <c r="BN91" s="40"/>
      <c r="BQ91" s="40"/>
      <c r="BT91" s="40"/>
      <c r="BW91" s="40"/>
      <c r="BZ91" s="40"/>
      <c r="CC91" s="40"/>
      <c r="CF91" s="40"/>
      <c r="CI91" s="40"/>
      <c r="CL91" s="40"/>
      <c r="CO91" s="40"/>
      <c r="CR91" s="40"/>
      <c r="CU91" s="40"/>
      <c r="CX91" s="40"/>
      <c r="DA91" s="40"/>
      <c r="DD91" s="40"/>
      <c r="DG91" s="40"/>
      <c r="DH91" s="96"/>
      <c r="DJ91" s="96"/>
      <c r="DL91" s="54"/>
      <c r="DM91" s="86"/>
      <c r="DN91" s="54"/>
      <c r="DO91" s="54"/>
      <c r="DP91" s="54"/>
      <c r="DQ91" s="54"/>
      <c r="DR91" s="54"/>
      <c r="DS91" s="54"/>
      <c r="DT91" s="154"/>
      <c r="DU91" s="20"/>
      <c r="DV91" s="187"/>
      <c r="DW91" s="170"/>
      <c r="DX91" s="93"/>
      <c r="DY91" s="94"/>
      <c r="DZ91" s="93"/>
      <c r="EA91" s="123"/>
      <c r="EB91" s="184"/>
      <c r="EC91" s="96"/>
      <c r="ED91" s="54">
        <f t="shared" si="17"/>
        <v>32</v>
      </c>
      <c r="EE91" s="54" t="s">
        <v>458</v>
      </c>
      <c r="EF91" s="54" t="s">
        <v>335</v>
      </c>
      <c r="EG91" s="188" t="s">
        <v>501</v>
      </c>
      <c r="EH91" s="54"/>
      <c r="EI91" s="93">
        <v>433.79</v>
      </c>
      <c r="EJ91" s="54"/>
      <c r="EK91" s="54"/>
      <c r="EL91" s="176">
        <v>227.42818181818183</v>
      </c>
      <c r="EM91" s="176">
        <f t="shared" si="15"/>
        <v>661.21818181818185</v>
      </c>
      <c r="EN91" s="176">
        <v>153.55072534840917</v>
      </c>
      <c r="EO91" s="123">
        <f>EM91*EI184</f>
        <v>9.0173146198830452</v>
      </c>
      <c r="EP91" s="123">
        <f>EM91*EI185</f>
        <v>0.91874526315789529</v>
      </c>
      <c r="EQ91" s="123">
        <f>EM91*EL176</f>
        <v>8.8216559064327527</v>
      </c>
      <c r="ER91" s="123">
        <f>EM91*EL177</f>
        <v>10.650639532163748</v>
      </c>
    </row>
    <row r="92" spans="2:148" s="101" customFormat="1" ht="25.15" customHeight="1" x14ac:dyDescent="0.25">
      <c r="F92" s="40"/>
      <c r="I92" s="40"/>
      <c r="K92" s="47"/>
      <c r="L92" s="235"/>
      <c r="M92" s="236"/>
      <c r="AD92" s="40"/>
      <c r="AG92" s="40"/>
      <c r="AJ92" s="40"/>
      <c r="AM92" s="40"/>
      <c r="AO92" s="96"/>
      <c r="AP92" s="40"/>
      <c r="AS92" s="40"/>
      <c r="AV92" s="40"/>
      <c r="AY92" s="40"/>
      <c r="BB92" s="40"/>
      <c r="BE92" s="40"/>
      <c r="BH92" s="40"/>
      <c r="BK92" s="40"/>
      <c r="BN92" s="40"/>
      <c r="BQ92" s="40"/>
      <c r="BT92" s="40"/>
      <c r="BW92" s="40"/>
      <c r="BZ92" s="40"/>
      <c r="CC92" s="40"/>
      <c r="CF92" s="40"/>
      <c r="CI92" s="40"/>
      <c r="CL92" s="40"/>
      <c r="CO92" s="40"/>
      <c r="CR92" s="40"/>
      <c r="CU92" s="40"/>
      <c r="CX92" s="40"/>
      <c r="DA92" s="40"/>
      <c r="DD92" s="40"/>
      <c r="DG92" s="40"/>
      <c r="DH92" s="96"/>
      <c r="DJ92" s="96"/>
      <c r="DL92" s="54"/>
      <c r="DM92" s="86"/>
      <c r="DN92" s="54"/>
      <c r="DO92" s="54"/>
      <c r="DP92" s="54"/>
      <c r="DQ92" s="54"/>
      <c r="DR92" s="54"/>
      <c r="DS92" s="54"/>
      <c r="DT92" s="154"/>
      <c r="DU92" s="20"/>
      <c r="DV92" s="187"/>
      <c r="DW92" s="170"/>
      <c r="DX92" s="93"/>
      <c r="DY92" s="94"/>
      <c r="DZ92" s="93"/>
      <c r="EA92" s="123"/>
      <c r="EB92" s="184"/>
      <c r="EC92" s="96"/>
      <c r="ED92" s="54">
        <f t="shared" si="17"/>
        <v>33</v>
      </c>
      <c r="EE92" s="54" t="s">
        <v>458</v>
      </c>
      <c r="EF92" s="54" t="s">
        <v>335</v>
      </c>
      <c r="EG92" s="188" t="s">
        <v>502</v>
      </c>
      <c r="EH92" s="54"/>
      <c r="EI92" s="93">
        <v>342.83</v>
      </c>
      <c r="EJ92" s="54"/>
      <c r="EK92" s="54"/>
      <c r="EL92" s="176">
        <v>183.4661038961039</v>
      </c>
      <c r="EM92" s="176">
        <f t="shared" si="15"/>
        <v>526.29610389610389</v>
      </c>
      <c r="EN92" s="176">
        <v>122.22352945043387</v>
      </c>
      <c r="EO92" s="123">
        <f>EM92*EI184</f>
        <v>7.1773246449457009</v>
      </c>
      <c r="EP92" s="123">
        <f>EM92*EI185</f>
        <v>0.73127458646616572</v>
      </c>
      <c r="EQ92" s="123">
        <f>EM92*EL176</f>
        <v>7.0215902422723504</v>
      </c>
      <c r="ER92" s="123">
        <f>EM92*EL177</f>
        <v>8.4773683542188838</v>
      </c>
    </row>
    <row r="93" spans="2:148" s="101" customFormat="1" ht="25.15" customHeight="1" x14ac:dyDescent="0.25">
      <c r="F93" s="40"/>
      <c r="I93" s="40"/>
      <c r="K93" s="47"/>
      <c r="L93" s="235"/>
      <c r="M93" s="236"/>
      <c r="AD93" s="40"/>
      <c r="AG93" s="40"/>
      <c r="AJ93" s="40"/>
      <c r="AM93" s="40"/>
      <c r="AO93" s="96"/>
      <c r="AP93" s="40"/>
      <c r="AS93" s="40"/>
      <c r="AV93" s="40"/>
      <c r="AY93" s="40"/>
      <c r="BB93" s="40"/>
      <c r="BE93" s="40"/>
      <c r="BH93" s="40"/>
      <c r="BK93" s="40"/>
      <c r="BN93" s="40"/>
      <c r="BQ93" s="40"/>
      <c r="BT93" s="40"/>
      <c r="BW93" s="40"/>
      <c r="BZ93" s="40"/>
      <c r="CC93" s="40"/>
      <c r="CF93" s="40"/>
      <c r="CI93" s="40"/>
      <c r="CL93" s="40"/>
      <c r="CO93" s="40"/>
      <c r="CR93" s="40"/>
      <c r="CU93" s="40"/>
      <c r="CX93" s="40"/>
      <c r="DA93" s="40"/>
      <c r="DD93" s="40"/>
      <c r="DG93" s="40"/>
      <c r="DH93" s="96"/>
      <c r="DJ93" s="96"/>
      <c r="DL93" s="54"/>
      <c r="DM93" s="86"/>
      <c r="DN93" s="54"/>
      <c r="DO93" s="54"/>
      <c r="DP93" s="54"/>
      <c r="DQ93" s="54"/>
      <c r="DR93" s="54"/>
      <c r="DS93" s="54"/>
      <c r="DT93" s="154"/>
      <c r="DU93" s="20"/>
      <c r="DV93" s="187"/>
      <c r="DW93" s="170"/>
      <c r="DX93" s="93"/>
      <c r="DY93" s="94"/>
      <c r="DZ93" s="93"/>
      <c r="EA93" s="123"/>
      <c r="EB93" s="184"/>
      <c r="EC93" s="96"/>
      <c r="ED93" s="54">
        <f t="shared" si="17"/>
        <v>34</v>
      </c>
      <c r="EE93" s="54" t="s">
        <v>458</v>
      </c>
      <c r="EF93" s="54" t="s">
        <v>335</v>
      </c>
      <c r="EG93" s="188" t="s">
        <v>503</v>
      </c>
      <c r="EH93" s="54"/>
      <c r="EI93" s="93">
        <v>413.4</v>
      </c>
      <c r="EJ93" s="54"/>
      <c r="EK93" s="54"/>
      <c r="EL93" s="176">
        <v>210.03896103896102</v>
      </c>
      <c r="EM93" s="176">
        <f t="shared" si="15"/>
        <v>623.438961038961</v>
      </c>
      <c r="EN93" s="176">
        <v>144.79119261109651</v>
      </c>
      <c r="EO93" s="123">
        <f>EM93*EI184</f>
        <v>8.5021032581453664</v>
      </c>
      <c r="EP93" s="123">
        <f>EM93*EI185</f>
        <v>0.86625203007518836</v>
      </c>
      <c r="EQ93" s="123">
        <f>EM93*EL176</f>
        <v>8.3176236591478734</v>
      </c>
      <c r="ER93" s="123">
        <f>EM93*EL177</f>
        <v>10.042106867167924</v>
      </c>
    </row>
    <row r="94" spans="2:148" s="101" customFormat="1" ht="25.15" customHeight="1" x14ac:dyDescent="0.25">
      <c r="B94" s="40"/>
      <c r="F94" s="40"/>
      <c r="I94" s="40"/>
      <c r="K94" s="47"/>
      <c r="L94" s="235" t="s">
        <v>5</v>
      </c>
      <c r="M94" s="236">
        <v>14.78</v>
      </c>
      <c r="AD94" s="40"/>
      <c r="AG94" s="40"/>
      <c r="AJ94" s="40"/>
      <c r="AM94" s="40"/>
      <c r="AO94" s="96"/>
      <c r="AP94" s="40"/>
      <c r="AS94" s="40"/>
      <c r="AV94" s="40"/>
      <c r="AY94" s="40"/>
      <c r="BB94" s="40"/>
      <c r="BE94" s="40"/>
      <c r="BH94" s="40"/>
      <c r="BK94" s="40"/>
      <c r="BN94" s="40"/>
      <c r="BQ94" s="40"/>
      <c r="BT94" s="40"/>
      <c r="BW94" s="40"/>
      <c r="BZ94" s="40"/>
      <c r="CC94" s="40"/>
      <c r="CF94" s="40"/>
      <c r="CI94" s="40"/>
      <c r="CL94" s="40"/>
      <c r="CO94" s="40"/>
      <c r="CR94" s="40"/>
      <c r="CU94" s="40"/>
      <c r="CX94" s="40"/>
      <c r="DA94" s="40"/>
      <c r="DD94" s="40"/>
      <c r="DG94" s="40"/>
      <c r="DH94" s="40"/>
      <c r="DJ94" s="40"/>
      <c r="DL94" s="54">
        <v>16</v>
      </c>
      <c r="DM94" s="86" t="s">
        <v>279</v>
      </c>
      <c r="DN94" s="54"/>
      <c r="DO94" s="54"/>
      <c r="DP94" s="54"/>
      <c r="DQ94" s="54"/>
      <c r="DR94" s="54"/>
      <c r="DS94" s="54"/>
      <c r="DT94" s="154" t="e">
        <f>#REF!</f>
        <v>#REF!</v>
      </c>
      <c r="DU94" s="20" t="e">
        <f>#REF!</f>
        <v>#REF!</v>
      </c>
      <c r="DV94" s="187">
        <f>AP51/4</f>
        <v>6.0600000000000005</v>
      </c>
      <c r="DW94" s="170">
        <f>AP37</f>
        <v>37.82</v>
      </c>
      <c r="DX94" s="93" t="e">
        <f t="shared" si="23"/>
        <v>#REF!</v>
      </c>
      <c r="DY94" s="94" t="e">
        <f t="shared" si="20"/>
        <v>#REF!</v>
      </c>
      <c r="DZ94" s="93" t="e">
        <f t="shared" si="21"/>
        <v>#REF!</v>
      </c>
      <c r="EA94" s="123" t="e">
        <f t="shared" si="28"/>
        <v>#REF!</v>
      </c>
      <c r="EB94" s="184" t="e">
        <f t="shared" si="29"/>
        <v>#REF!</v>
      </c>
      <c r="EC94" s="96" t="e">
        <f t="shared" si="16"/>
        <v>#REF!</v>
      </c>
      <c r="ED94" s="54">
        <f t="shared" si="17"/>
        <v>35</v>
      </c>
      <c r="EE94" s="54" t="s">
        <v>458</v>
      </c>
      <c r="EF94" s="54" t="s">
        <v>336</v>
      </c>
      <c r="EG94" s="188" t="s">
        <v>504</v>
      </c>
      <c r="EH94" s="54"/>
      <c r="EI94" s="93">
        <v>595.55999999999995</v>
      </c>
      <c r="EJ94" s="54"/>
      <c r="EK94" s="54"/>
      <c r="EL94" s="176">
        <v>273.8659740259742</v>
      </c>
      <c r="EM94" s="176">
        <f t="shared" si="15"/>
        <v>869.42597402597414</v>
      </c>
      <c r="EN94" s="176">
        <v>201.92233223770708</v>
      </c>
      <c r="EO94" s="123">
        <f>EM94*EI184</f>
        <v>11.856733166248963</v>
      </c>
      <c r="EP94" s="123">
        <f>EM94*EI185</f>
        <v>1.2080445112781963</v>
      </c>
      <c r="EQ94" s="123">
        <f>EM94*EL176</f>
        <v>11.599464427736013</v>
      </c>
      <c r="ER94" s="123">
        <f>EM94*EL177</f>
        <v>14.004367852965755</v>
      </c>
    </row>
    <row r="95" spans="2:148" s="101" customFormat="1" ht="25.15" customHeight="1" x14ac:dyDescent="0.25">
      <c r="B95" s="40"/>
      <c r="F95" s="40"/>
      <c r="I95" s="40"/>
      <c r="K95" s="47"/>
      <c r="L95" s="235" t="s">
        <v>130</v>
      </c>
      <c r="M95" s="236">
        <v>54.88</v>
      </c>
      <c r="AD95" s="40"/>
      <c r="AG95" s="40"/>
      <c r="AJ95" s="40"/>
      <c r="AL95" s="47"/>
      <c r="AM95" s="95"/>
      <c r="AO95" s="96"/>
      <c r="AP95" s="40"/>
      <c r="AS95" s="40"/>
      <c r="AV95" s="40"/>
      <c r="AY95" s="40"/>
      <c r="BB95" s="40"/>
      <c r="BE95" s="40"/>
      <c r="BH95" s="40"/>
      <c r="BK95" s="40"/>
      <c r="BN95" s="40"/>
      <c r="BQ95" s="40"/>
      <c r="BT95" s="40"/>
      <c r="BW95" s="40"/>
      <c r="BZ95" s="40"/>
      <c r="CC95" s="40"/>
      <c r="CF95" s="40"/>
      <c r="CI95" s="40"/>
      <c r="CL95" s="40"/>
      <c r="CO95" s="40"/>
      <c r="CR95" s="40"/>
      <c r="CU95" s="40"/>
      <c r="CX95" s="40"/>
      <c r="DA95" s="40"/>
      <c r="DD95" s="40"/>
      <c r="DG95" s="40"/>
      <c r="DH95" s="40"/>
      <c r="DJ95" s="40"/>
      <c r="DL95" s="54"/>
      <c r="DM95" s="39" t="s">
        <v>12</v>
      </c>
      <c r="DN95" s="54"/>
      <c r="DO95" s="54"/>
      <c r="DP95" s="54"/>
      <c r="DQ95" s="54"/>
      <c r="DR95" s="54"/>
      <c r="DS95" s="54"/>
      <c r="DT95" s="154"/>
      <c r="DU95" s="186"/>
      <c r="DV95" s="187"/>
      <c r="DW95" s="170"/>
      <c r="DX95" s="93"/>
      <c r="DY95" s="94"/>
      <c r="DZ95" s="93"/>
      <c r="EA95" s="208" t="e">
        <f>SUM(EA77:EA94)</f>
        <v>#REF!</v>
      </c>
      <c r="EB95" s="231"/>
      <c r="EC95" s="96">
        <f t="shared" si="16"/>
        <v>0</v>
      </c>
      <c r="ED95" s="54">
        <f t="shared" si="17"/>
        <v>36</v>
      </c>
      <c r="EE95" s="54" t="s">
        <v>458</v>
      </c>
      <c r="EF95" s="54" t="s">
        <v>336</v>
      </c>
      <c r="EG95" s="188" t="s">
        <v>505</v>
      </c>
      <c r="EH95" s="54"/>
      <c r="EI95" s="93">
        <v>434.89</v>
      </c>
      <c r="EJ95" s="54"/>
      <c r="EK95" s="54"/>
      <c r="EL95" s="176">
        <v>232.73077922077925</v>
      </c>
      <c r="EM95" s="176">
        <f t="shared" si="15"/>
        <v>667.62077922077924</v>
      </c>
      <c r="EN95" s="176">
        <v>155.03941440967657</v>
      </c>
      <c r="EO95" s="123">
        <f>EM95*EI184</f>
        <v>9.104629573934842</v>
      </c>
      <c r="EP95" s="123">
        <f>EM95*EI185</f>
        <v>0.92764150375939902</v>
      </c>
      <c r="EQ95" s="123">
        <f>EM95*EL176</f>
        <v>8.9070762907268222</v>
      </c>
      <c r="ER95" s="123">
        <f>EM95*EL177</f>
        <v>10.753770025062661</v>
      </c>
    </row>
    <row r="96" spans="2:148" s="101" customFormat="1" ht="25.15" customHeight="1" x14ac:dyDescent="0.25">
      <c r="B96" s="40"/>
      <c r="F96" s="40"/>
      <c r="I96" s="40"/>
      <c r="K96" s="223"/>
      <c r="L96" s="235" t="s">
        <v>4</v>
      </c>
      <c r="M96" s="237">
        <v>-2.6</v>
      </c>
      <c r="AD96" s="40"/>
      <c r="AG96" s="40"/>
      <c r="AJ96" s="40"/>
      <c r="AL96" s="47"/>
      <c r="AM96" s="100"/>
      <c r="AP96" s="40"/>
      <c r="AS96" s="40"/>
      <c r="AV96" s="40"/>
      <c r="AY96" s="40"/>
      <c r="BB96" s="40"/>
      <c r="BE96" s="40"/>
      <c r="BH96" s="40"/>
      <c r="BK96" s="40"/>
      <c r="BN96" s="40"/>
      <c r="BQ96" s="40"/>
      <c r="BT96" s="40"/>
      <c r="BW96" s="40"/>
      <c r="BZ96" s="40"/>
      <c r="CC96" s="40"/>
      <c r="CF96" s="40"/>
      <c r="CI96" s="40"/>
      <c r="CL96" s="40"/>
      <c r="CO96" s="40"/>
      <c r="CR96" s="40"/>
      <c r="CU96" s="40"/>
      <c r="CX96" s="40"/>
      <c r="DA96" s="40"/>
      <c r="DD96" s="40"/>
      <c r="DG96" s="40"/>
      <c r="DH96" s="40"/>
      <c r="DJ96" s="40"/>
      <c r="DL96" s="54"/>
      <c r="DM96" s="39" t="s">
        <v>218</v>
      </c>
      <c r="DN96" s="54"/>
      <c r="DO96" s="54"/>
      <c r="DP96" s="54"/>
      <c r="DQ96" s="54"/>
      <c r="DR96" s="54"/>
      <c r="DS96" s="54"/>
      <c r="DT96" s="154"/>
      <c r="DU96" s="186"/>
      <c r="DV96" s="187"/>
      <c r="DW96" s="170"/>
      <c r="DX96" s="93"/>
      <c r="DY96" s="94"/>
      <c r="DZ96" s="93"/>
      <c r="EA96" s="86"/>
      <c r="EB96" s="231"/>
      <c r="EC96" s="96">
        <f t="shared" si="16"/>
        <v>0</v>
      </c>
      <c r="ED96" s="54">
        <f t="shared" si="17"/>
        <v>37</v>
      </c>
      <c r="EE96" s="54" t="s">
        <v>458</v>
      </c>
      <c r="EF96" s="54" t="s">
        <v>336</v>
      </c>
      <c r="EG96" s="188" t="s">
        <v>506</v>
      </c>
      <c r="EH96" s="54"/>
      <c r="EI96" s="93">
        <v>433.79</v>
      </c>
      <c r="EJ96" s="54"/>
      <c r="EK96" s="54"/>
      <c r="EL96" s="176">
        <v>227.42818181818183</v>
      </c>
      <c r="EM96" s="176">
        <f t="shared" si="15"/>
        <v>661.21818181818185</v>
      </c>
      <c r="EN96" s="176">
        <v>153.55072534840917</v>
      </c>
      <c r="EO96" s="123">
        <f>EM96*EI184</f>
        <v>9.0173146198830452</v>
      </c>
      <c r="EP96" s="123">
        <f>EM96*EI185</f>
        <v>0.91874526315789529</v>
      </c>
      <c r="EQ96" s="123">
        <f>EM96*EL176</f>
        <v>8.8216559064327527</v>
      </c>
      <c r="ER96" s="123">
        <f>EM96*EL177</f>
        <v>10.650639532163748</v>
      </c>
    </row>
    <row r="97" spans="2:148" s="101" customFormat="1" ht="25.15" customHeight="1" x14ac:dyDescent="0.25">
      <c r="B97" s="40"/>
      <c r="F97" s="40"/>
      <c r="I97" s="40"/>
      <c r="K97" s="223"/>
      <c r="L97" s="235" t="s">
        <v>146</v>
      </c>
      <c r="M97" s="236">
        <v>48.81</v>
      </c>
      <c r="AD97" s="40"/>
      <c r="AG97" s="40"/>
      <c r="AJ97" s="40"/>
      <c r="AM97" s="40"/>
      <c r="AP97" s="40"/>
      <c r="AS97" s="40"/>
      <c r="AV97" s="40"/>
      <c r="AY97" s="40"/>
      <c r="BB97" s="40"/>
      <c r="BE97" s="40"/>
      <c r="BH97" s="40"/>
      <c r="BK97" s="40"/>
      <c r="BN97" s="40"/>
      <c r="BQ97" s="40"/>
      <c r="BT97" s="40"/>
      <c r="BW97" s="40"/>
      <c r="BZ97" s="40"/>
      <c r="CC97" s="40"/>
      <c r="CF97" s="40"/>
      <c r="CI97" s="40"/>
      <c r="CL97" s="40"/>
      <c r="CO97" s="40"/>
      <c r="CR97" s="40"/>
      <c r="CU97" s="40"/>
      <c r="CX97" s="40"/>
      <c r="DA97" s="40"/>
      <c r="DD97" s="40"/>
      <c r="DG97" s="40"/>
      <c r="DH97" s="95"/>
      <c r="DI97" s="47"/>
      <c r="DJ97" s="95"/>
      <c r="DL97" s="54">
        <v>17</v>
      </c>
      <c r="DM97" s="86" t="s">
        <v>240</v>
      </c>
      <c r="DN97" s="93">
        <v>3599.7</v>
      </c>
      <c r="DO97" s="54">
        <v>208.39</v>
      </c>
      <c r="DP97" s="54">
        <v>18.39</v>
      </c>
      <c r="DQ97" s="54"/>
      <c r="DR97" s="54">
        <v>134.99</v>
      </c>
      <c r="DS97" s="54">
        <f>DN97+DO97+DP97+DQ97+DR97</f>
        <v>3961.4699999999993</v>
      </c>
      <c r="DT97" s="154" t="e">
        <f>#REF!</f>
        <v>#REF!</v>
      </c>
      <c r="DU97" s="20">
        <f>AS56/2</f>
        <v>60.88</v>
      </c>
      <c r="DV97" s="187">
        <f>AS51/4</f>
        <v>6.0600000000000005</v>
      </c>
      <c r="DW97" s="170">
        <f>AS31</f>
        <v>37.82</v>
      </c>
      <c r="DX97" s="93" t="e">
        <f t="shared" si="23"/>
        <v>#REF!</v>
      </c>
      <c r="DY97" s="94" t="e">
        <f t="shared" si="20"/>
        <v>#REF!</v>
      </c>
      <c r="DZ97" s="93" t="e">
        <f t="shared" si="21"/>
        <v>#REF!</v>
      </c>
      <c r="EA97" s="123" t="e">
        <f t="shared" ref="EA97:EA99" si="30">ROUND(DZ97*10.764/1,0)*1</f>
        <v>#REF!</v>
      </c>
      <c r="EB97" s="184" t="e">
        <f t="shared" ref="EB97:EB99" si="31">(EA97*$ED$54)/$EC$54</f>
        <v>#REF!</v>
      </c>
      <c r="EC97" s="96" t="e">
        <f t="shared" si="16"/>
        <v>#REF!</v>
      </c>
      <c r="ED97" s="54">
        <f t="shared" si="17"/>
        <v>38</v>
      </c>
      <c r="EE97" s="54" t="s">
        <v>458</v>
      </c>
      <c r="EF97" s="54" t="s">
        <v>336</v>
      </c>
      <c r="EG97" s="188" t="s">
        <v>507</v>
      </c>
      <c r="EH97" s="54"/>
      <c r="EI97" s="93">
        <v>342.83</v>
      </c>
      <c r="EJ97" s="54"/>
      <c r="EK97" s="54"/>
      <c r="EL97" s="176">
        <v>183.4661038961039</v>
      </c>
      <c r="EM97" s="176">
        <f t="shared" si="15"/>
        <v>526.29610389610389</v>
      </c>
      <c r="EN97" s="176">
        <v>122.22352945043387</v>
      </c>
      <c r="EO97" s="123">
        <f>EM97*EI184</f>
        <v>7.1773246449457009</v>
      </c>
      <c r="EP97" s="123">
        <f>EM97*EI185</f>
        <v>0.73127458646616572</v>
      </c>
      <c r="EQ97" s="123">
        <f>EM97*EL176</f>
        <v>7.0215902422723504</v>
      </c>
      <c r="ER97" s="123">
        <f>EM97*EL177</f>
        <v>8.4773683542188838</v>
      </c>
    </row>
    <row r="98" spans="2:148" s="101" customFormat="1" ht="25.15" customHeight="1" x14ac:dyDescent="0.25">
      <c r="C98" s="40"/>
      <c r="F98" s="40"/>
      <c r="I98" s="40"/>
      <c r="K98" s="223"/>
      <c r="L98" s="235" t="s">
        <v>4</v>
      </c>
      <c r="M98" s="236">
        <v>-1.43</v>
      </c>
      <c r="AD98" s="40"/>
      <c r="AG98" s="40"/>
      <c r="AJ98" s="40"/>
      <c r="AM98" s="40"/>
      <c r="AP98" s="40"/>
      <c r="AS98" s="40"/>
      <c r="AV98" s="40"/>
      <c r="AY98" s="40"/>
      <c r="BB98" s="40"/>
      <c r="BE98" s="40"/>
      <c r="BH98" s="40"/>
      <c r="BK98" s="238"/>
      <c r="BN98" s="40"/>
      <c r="BQ98" s="40"/>
      <c r="BT98" s="40"/>
      <c r="BW98" s="40"/>
      <c r="BZ98" s="40"/>
      <c r="CC98" s="40"/>
      <c r="CF98" s="40"/>
      <c r="CI98" s="40"/>
      <c r="CL98" s="40"/>
      <c r="CO98" s="40"/>
      <c r="CR98" s="40"/>
      <c r="CU98" s="40"/>
      <c r="CX98" s="40"/>
      <c r="DA98" s="40"/>
      <c r="DD98" s="40"/>
      <c r="DG98" s="40"/>
      <c r="DH98" s="100"/>
      <c r="DI98" s="47"/>
      <c r="DJ98" s="100"/>
      <c r="DL98" s="54">
        <v>18</v>
      </c>
      <c r="DM98" s="86" t="s">
        <v>274</v>
      </c>
      <c r="DN98" s="54"/>
      <c r="DO98" s="54"/>
      <c r="DP98" s="54"/>
      <c r="DQ98" s="54"/>
      <c r="DR98" s="54"/>
      <c r="DS98" s="54"/>
      <c r="DT98" s="154">
        <f>AS65</f>
        <v>639.58000000000004</v>
      </c>
      <c r="DU98" s="20">
        <f>DU97</f>
        <v>60.88</v>
      </c>
      <c r="DV98" s="187">
        <f>AS51/4</f>
        <v>6.0600000000000005</v>
      </c>
      <c r="DW98" s="170">
        <f>AS33</f>
        <v>37.82</v>
      </c>
      <c r="DX98" s="93">
        <f t="shared" si="23"/>
        <v>744.34</v>
      </c>
      <c r="DY98" s="94">
        <f t="shared" si="20"/>
        <v>248.11333333333334</v>
      </c>
      <c r="DZ98" s="93">
        <f t="shared" si="21"/>
        <v>992.45333333333338</v>
      </c>
      <c r="EA98" s="123">
        <f t="shared" si="30"/>
        <v>10683</v>
      </c>
      <c r="EB98" s="184" t="e">
        <f t="shared" si="31"/>
        <v>#REF!</v>
      </c>
      <c r="EC98" s="96" t="e">
        <f t="shared" si="16"/>
        <v>#REF!</v>
      </c>
      <c r="ED98" s="54">
        <f t="shared" si="17"/>
        <v>39</v>
      </c>
      <c r="EE98" s="54" t="s">
        <v>458</v>
      </c>
      <c r="EF98" s="54" t="s">
        <v>336</v>
      </c>
      <c r="EG98" s="188" t="s">
        <v>508</v>
      </c>
      <c r="EH98" s="54"/>
      <c r="EI98" s="93">
        <v>413.4</v>
      </c>
      <c r="EJ98" s="54"/>
      <c r="EK98" s="54"/>
      <c r="EL98" s="176">
        <v>210.03896103896102</v>
      </c>
      <c r="EM98" s="176">
        <f t="shared" si="15"/>
        <v>623.438961038961</v>
      </c>
      <c r="EN98" s="176">
        <v>144.79119261109651</v>
      </c>
      <c r="EO98" s="123">
        <f>EM98*EI184</f>
        <v>8.5021032581453664</v>
      </c>
      <c r="EP98" s="123">
        <f>EM98*EI185</f>
        <v>0.86625203007518836</v>
      </c>
      <c r="EQ98" s="123">
        <f>EM98*EL176</f>
        <v>8.3176236591478734</v>
      </c>
      <c r="ER98" s="123">
        <f>EM98*EL177</f>
        <v>10.042106867167924</v>
      </c>
    </row>
    <row r="99" spans="2:148" s="101" customFormat="1" ht="25.15" customHeight="1" x14ac:dyDescent="0.25">
      <c r="C99" s="40"/>
      <c r="F99" s="40"/>
      <c r="I99" s="40"/>
      <c r="K99" s="223"/>
      <c r="L99" s="235" t="s">
        <v>4</v>
      </c>
      <c r="M99" s="237">
        <v>-4</v>
      </c>
      <c r="AD99" s="40"/>
      <c r="AG99" s="40"/>
      <c r="AJ99" s="40"/>
      <c r="AM99" s="40"/>
      <c r="AP99" s="40"/>
      <c r="AS99" s="40"/>
      <c r="AV99" s="40"/>
      <c r="AY99" s="40"/>
      <c r="BB99" s="40"/>
      <c r="BE99" s="40"/>
      <c r="BH99" s="40"/>
      <c r="BK99" s="40"/>
      <c r="BN99" s="40"/>
      <c r="BQ99" s="40"/>
      <c r="BT99" s="40"/>
      <c r="BW99" s="40"/>
      <c r="BZ99" s="40"/>
      <c r="CC99" s="40"/>
      <c r="CF99" s="40"/>
      <c r="CI99" s="40"/>
      <c r="CL99" s="40"/>
      <c r="CO99" s="40"/>
      <c r="CR99" s="40"/>
      <c r="CU99" s="40"/>
      <c r="CX99" s="40"/>
      <c r="DA99" s="40"/>
      <c r="DD99" s="40"/>
      <c r="DG99" s="40"/>
      <c r="DH99" s="40"/>
      <c r="DI99" s="40"/>
      <c r="DJ99" s="40"/>
      <c r="DL99" s="54">
        <v>20</v>
      </c>
      <c r="DM99" s="86" t="s">
        <v>275</v>
      </c>
      <c r="DN99" s="54"/>
      <c r="DO99" s="54"/>
      <c r="DP99" s="54"/>
      <c r="DQ99" s="54"/>
      <c r="DR99" s="54"/>
      <c r="DS99" s="54"/>
      <c r="DT99" s="154" t="e">
        <f>#REF!</f>
        <v>#REF!</v>
      </c>
      <c r="DU99" s="20" t="e">
        <f>#REF!</f>
        <v>#REF!</v>
      </c>
      <c r="DV99" s="187">
        <f>AS51/4</f>
        <v>6.0600000000000005</v>
      </c>
      <c r="DW99" s="170">
        <f>AS37</f>
        <v>37.82</v>
      </c>
      <c r="DX99" s="93" t="e">
        <f t="shared" si="23"/>
        <v>#REF!</v>
      </c>
      <c r="DY99" s="94" t="e">
        <f t="shared" si="20"/>
        <v>#REF!</v>
      </c>
      <c r="DZ99" s="93" t="e">
        <f t="shared" si="21"/>
        <v>#REF!</v>
      </c>
      <c r="EA99" s="123" t="e">
        <f t="shared" si="30"/>
        <v>#REF!</v>
      </c>
      <c r="EB99" s="184" t="e">
        <f t="shared" si="31"/>
        <v>#REF!</v>
      </c>
      <c r="EC99" s="96" t="e">
        <f t="shared" si="16"/>
        <v>#REF!</v>
      </c>
      <c r="ED99" s="54">
        <f t="shared" si="17"/>
        <v>40</v>
      </c>
      <c r="EE99" s="54" t="s">
        <v>458</v>
      </c>
      <c r="EF99" s="54" t="s">
        <v>222</v>
      </c>
      <c r="EG99" s="188" t="s">
        <v>510</v>
      </c>
      <c r="EH99" s="54"/>
      <c r="EI99" s="93">
        <v>595.55999999999995</v>
      </c>
      <c r="EJ99" s="54"/>
      <c r="EK99" s="54"/>
      <c r="EL99" s="176">
        <v>273.8659740259742</v>
      </c>
      <c r="EM99" s="176">
        <f t="shared" si="15"/>
        <v>869.42597402597414</v>
      </c>
      <c r="EN99" s="176">
        <v>201.92233223770708</v>
      </c>
      <c r="EO99" s="123">
        <f>EM99*EI184</f>
        <v>11.856733166248963</v>
      </c>
      <c r="EP99" s="123">
        <f>EM99*EI185</f>
        <v>1.2080445112781963</v>
      </c>
      <c r="EQ99" s="123">
        <f>EM99*EL176</f>
        <v>11.599464427736013</v>
      </c>
      <c r="ER99" s="123">
        <f>EM99*EL177</f>
        <v>14.004367852965755</v>
      </c>
    </row>
    <row r="100" spans="2:148" s="101" customFormat="1" ht="25.15" customHeight="1" x14ac:dyDescent="0.25">
      <c r="C100" s="40"/>
      <c r="F100" s="40"/>
      <c r="I100" s="40"/>
      <c r="K100" s="223"/>
      <c r="L100" s="235" t="s">
        <v>64</v>
      </c>
      <c r="M100" s="236">
        <f>27.26-1.44</f>
        <v>25.82</v>
      </c>
      <c r="AD100" s="40"/>
      <c r="AG100" s="40"/>
      <c r="AJ100" s="40"/>
      <c r="AM100" s="40"/>
      <c r="AP100" s="40"/>
      <c r="AS100" s="40"/>
      <c r="AV100" s="40"/>
      <c r="AY100" s="40"/>
      <c r="BB100" s="40"/>
      <c r="BE100" s="40"/>
      <c r="BH100" s="40"/>
      <c r="BK100" s="40"/>
      <c r="BN100" s="40"/>
      <c r="BQ100" s="40"/>
      <c r="BT100" s="40"/>
      <c r="BW100" s="40"/>
      <c r="BZ100" s="40"/>
      <c r="CC100" s="40"/>
      <c r="CF100" s="40"/>
      <c r="CI100" s="40"/>
      <c r="CL100" s="40"/>
      <c r="CO100" s="40"/>
      <c r="CR100" s="40"/>
      <c r="CU100" s="40"/>
      <c r="CX100" s="40"/>
      <c r="DA100" s="40"/>
      <c r="DD100" s="40"/>
      <c r="DG100" s="40"/>
      <c r="DH100" s="40"/>
      <c r="DI100" s="40"/>
      <c r="DJ100" s="40"/>
      <c r="DL100" s="54"/>
      <c r="DM100" s="39" t="s">
        <v>12</v>
      </c>
      <c r="DN100" s="54"/>
      <c r="DO100" s="54"/>
      <c r="DP100" s="54"/>
      <c r="DQ100" s="54"/>
      <c r="DR100" s="54"/>
      <c r="DS100" s="54"/>
      <c r="DT100" s="154"/>
      <c r="DU100" s="186"/>
      <c r="DV100" s="187"/>
      <c r="DW100" s="170"/>
      <c r="DX100" s="93"/>
      <c r="DY100" s="94"/>
      <c r="DZ100" s="93"/>
      <c r="EA100" s="208" t="e">
        <f>SUM(EA97:EA99)</f>
        <v>#REF!</v>
      </c>
      <c r="EB100" s="231"/>
      <c r="EC100" s="96">
        <f t="shared" si="16"/>
        <v>0</v>
      </c>
      <c r="ED100" s="54">
        <f t="shared" si="17"/>
        <v>41</v>
      </c>
      <c r="EE100" s="54" t="s">
        <v>458</v>
      </c>
      <c r="EF100" s="54" t="s">
        <v>222</v>
      </c>
      <c r="EG100" s="188" t="s">
        <v>511</v>
      </c>
      <c r="EH100" s="54"/>
      <c r="EI100" s="93">
        <v>434.89</v>
      </c>
      <c r="EJ100" s="54"/>
      <c r="EK100" s="54"/>
      <c r="EL100" s="176">
        <v>232.73077922077925</v>
      </c>
      <c r="EM100" s="176">
        <f t="shared" si="15"/>
        <v>667.62077922077924</v>
      </c>
      <c r="EN100" s="176">
        <v>155.03941440967657</v>
      </c>
      <c r="EO100" s="123">
        <f>EM100*EI184</f>
        <v>9.104629573934842</v>
      </c>
      <c r="EP100" s="123">
        <f>EM100*EI185</f>
        <v>0.92764150375939902</v>
      </c>
      <c r="EQ100" s="123">
        <f>EM100*EL176</f>
        <v>8.9070762907268222</v>
      </c>
      <c r="ER100" s="123">
        <f>EM100*EL177</f>
        <v>10.753770025062661</v>
      </c>
    </row>
    <row r="101" spans="2:148" s="101" customFormat="1" ht="25.15" customHeight="1" x14ac:dyDescent="0.25">
      <c r="C101" s="40"/>
      <c r="F101" s="40"/>
      <c r="I101" s="40"/>
      <c r="K101" s="223"/>
      <c r="L101" s="235" t="s">
        <v>149</v>
      </c>
      <c r="M101" s="236">
        <v>702.05</v>
      </c>
      <c r="AD101" s="40"/>
      <c r="AG101" s="40"/>
      <c r="AJ101" s="40"/>
      <c r="AM101" s="40"/>
      <c r="AP101" s="40"/>
      <c r="AS101" s="40"/>
      <c r="AV101" s="40"/>
      <c r="AY101" s="40"/>
      <c r="BB101" s="40"/>
      <c r="BE101" s="40"/>
      <c r="BH101" s="40"/>
      <c r="BK101" s="40"/>
      <c r="BN101" s="40"/>
      <c r="BQ101" s="40"/>
      <c r="BT101" s="40"/>
      <c r="BW101" s="40"/>
      <c r="BZ101" s="40"/>
      <c r="CC101" s="40"/>
      <c r="CF101" s="40"/>
      <c r="CI101" s="40"/>
      <c r="CL101" s="40"/>
      <c r="CO101" s="40"/>
      <c r="CR101" s="40"/>
      <c r="CU101" s="40"/>
      <c r="CX101" s="40"/>
      <c r="DA101" s="40"/>
      <c r="DD101" s="40"/>
      <c r="DG101" s="40"/>
      <c r="DH101" s="40"/>
      <c r="DI101" s="40"/>
      <c r="DJ101" s="40"/>
      <c r="DL101" s="54"/>
      <c r="DM101" s="39" t="s">
        <v>334</v>
      </c>
      <c r="DN101" s="54"/>
      <c r="DO101" s="54"/>
      <c r="DP101" s="54"/>
      <c r="DQ101" s="54"/>
      <c r="DR101" s="54"/>
      <c r="DS101" s="54"/>
      <c r="DT101" s="154"/>
      <c r="DU101" s="186"/>
      <c r="DV101" s="187"/>
      <c r="DW101" s="170"/>
      <c r="DX101" s="93"/>
      <c r="DY101" s="94"/>
      <c r="DZ101" s="93"/>
      <c r="EA101" s="86"/>
      <c r="EB101" s="231"/>
      <c r="EC101" s="96">
        <f t="shared" si="16"/>
        <v>0</v>
      </c>
      <c r="ED101" s="54">
        <f t="shared" si="17"/>
        <v>42</v>
      </c>
      <c r="EE101" s="54" t="s">
        <v>458</v>
      </c>
      <c r="EF101" s="54" t="s">
        <v>222</v>
      </c>
      <c r="EG101" s="188" t="s">
        <v>512</v>
      </c>
      <c r="EH101" s="54"/>
      <c r="EI101" s="93">
        <v>433.79</v>
      </c>
      <c r="EJ101" s="54"/>
      <c r="EK101" s="54"/>
      <c r="EL101" s="176">
        <v>227.42818181818183</v>
      </c>
      <c r="EM101" s="176">
        <f t="shared" si="15"/>
        <v>661.21818181818185</v>
      </c>
      <c r="EN101" s="176">
        <v>153.55072534840917</v>
      </c>
      <c r="EO101" s="123">
        <f>EM101*EI184</f>
        <v>9.0173146198830452</v>
      </c>
      <c r="EP101" s="123">
        <f>EM101*EI185</f>
        <v>0.91874526315789529</v>
      </c>
      <c r="EQ101" s="123">
        <f>EM101*EL176</f>
        <v>8.8216559064327527</v>
      </c>
      <c r="ER101" s="123">
        <f>EM101*EL177</f>
        <v>10.650639532163748</v>
      </c>
    </row>
    <row r="102" spans="2:148" s="101" customFormat="1" ht="25.15" customHeight="1" x14ac:dyDescent="0.25">
      <c r="C102" s="40"/>
      <c r="F102" s="40"/>
      <c r="I102" s="40"/>
      <c r="K102" s="223"/>
      <c r="L102" s="235"/>
      <c r="M102" s="236"/>
      <c r="AD102" s="40"/>
      <c r="AG102" s="40"/>
      <c r="AJ102" s="40"/>
      <c r="AM102" s="40"/>
      <c r="AP102" s="40"/>
      <c r="AS102" s="40"/>
      <c r="AV102" s="40"/>
      <c r="AY102" s="40"/>
      <c r="BB102" s="40"/>
      <c r="BE102" s="40"/>
      <c r="BH102" s="40"/>
      <c r="BK102" s="40"/>
      <c r="BN102" s="40"/>
      <c r="BQ102" s="40"/>
      <c r="BT102" s="40"/>
      <c r="BW102" s="40"/>
      <c r="BZ102" s="40"/>
      <c r="CC102" s="40"/>
      <c r="CF102" s="40"/>
      <c r="CI102" s="40"/>
      <c r="CL102" s="40"/>
      <c r="CO102" s="40"/>
      <c r="CR102" s="40"/>
      <c r="CU102" s="40"/>
      <c r="CX102" s="40"/>
      <c r="DA102" s="40"/>
      <c r="DD102" s="40"/>
      <c r="DG102" s="40"/>
      <c r="DH102" s="40"/>
      <c r="DI102" s="40"/>
      <c r="DJ102" s="40"/>
      <c r="DL102" s="54"/>
      <c r="DM102" s="39"/>
      <c r="DN102" s="54"/>
      <c r="DO102" s="54"/>
      <c r="DP102" s="54"/>
      <c r="DQ102" s="54"/>
      <c r="DR102" s="54"/>
      <c r="DS102" s="54"/>
      <c r="DT102" s="154"/>
      <c r="DU102" s="186"/>
      <c r="DV102" s="187"/>
      <c r="DW102" s="170"/>
      <c r="DX102" s="93"/>
      <c r="DY102" s="94"/>
      <c r="DZ102" s="93"/>
      <c r="EA102" s="86"/>
      <c r="EB102" s="231"/>
      <c r="EC102" s="96"/>
      <c r="ED102" s="54">
        <f t="shared" si="17"/>
        <v>43</v>
      </c>
      <c r="EE102" s="54" t="s">
        <v>458</v>
      </c>
      <c r="EF102" s="54" t="s">
        <v>222</v>
      </c>
      <c r="EG102" s="188" t="s">
        <v>513</v>
      </c>
      <c r="EH102" s="54"/>
      <c r="EI102" s="93">
        <v>342.83</v>
      </c>
      <c r="EJ102" s="222"/>
      <c r="EK102" s="222"/>
      <c r="EL102" s="176">
        <v>183.4661038961039</v>
      </c>
      <c r="EM102" s="176">
        <f t="shared" si="15"/>
        <v>526.29610389610389</v>
      </c>
      <c r="EN102" s="176">
        <v>122.22352945043387</v>
      </c>
      <c r="EO102" s="123">
        <f>EM102*EI184</f>
        <v>7.1773246449457009</v>
      </c>
      <c r="EP102" s="123">
        <f>EM102*EI185</f>
        <v>0.73127458646616572</v>
      </c>
      <c r="EQ102" s="123">
        <f>EM102*EL176</f>
        <v>7.0215902422723504</v>
      </c>
      <c r="ER102" s="123">
        <f>EM102*EL177</f>
        <v>8.4773683542188838</v>
      </c>
    </row>
    <row r="103" spans="2:148" s="101" customFormat="1" ht="25.15" customHeight="1" x14ac:dyDescent="0.25">
      <c r="C103" s="40"/>
      <c r="E103" s="40"/>
      <c r="I103" s="40"/>
      <c r="K103" s="223"/>
      <c r="L103" s="235" t="s">
        <v>4</v>
      </c>
      <c r="M103" s="236">
        <v>-8.82</v>
      </c>
      <c r="AD103" s="40"/>
      <c r="AG103" s="40"/>
      <c r="AJ103" s="40"/>
      <c r="AM103" s="40"/>
      <c r="AP103" s="40"/>
      <c r="AS103" s="40"/>
      <c r="AV103" s="40"/>
      <c r="AY103" s="40"/>
      <c r="BB103" s="40"/>
      <c r="BE103" s="40"/>
      <c r="BH103" s="40"/>
      <c r="BK103" s="40"/>
      <c r="BN103" s="40"/>
      <c r="BQ103" s="40"/>
      <c r="BT103" s="40"/>
      <c r="BW103" s="40"/>
      <c r="BZ103" s="40"/>
      <c r="CC103" s="40"/>
      <c r="CF103" s="40"/>
      <c r="CI103" s="40"/>
      <c r="CL103" s="40"/>
      <c r="CO103" s="40"/>
      <c r="CR103" s="40"/>
      <c r="CU103" s="40"/>
      <c r="CX103" s="40"/>
      <c r="DA103" s="40"/>
      <c r="DD103" s="40"/>
      <c r="DG103" s="40"/>
      <c r="DH103" s="40"/>
      <c r="DI103" s="40"/>
      <c r="DJ103" s="40"/>
      <c r="DL103" s="54">
        <v>21</v>
      </c>
      <c r="DM103" s="86" t="s">
        <v>255</v>
      </c>
      <c r="DN103" s="54">
        <f>3859.17-1030.56</f>
        <v>2828.61</v>
      </c>
      <c r="DO103" s="54">
        <v>208.39</v>
      </c>
      <c r="DP103" s="54">
        <v>18.39</v>
      </c>
      <c r="DQ103" s="54"/>
      <c r="DR103" s="54">
        <v>134.99</v>
      </c>
      <c r="DS103" s="54">
        <f>DN103+DO103+DP103+DQ103+DR103</f>
        <v>3190.38</v>
      </c>
      <c r="DT103" s="154" t="e">
        <f>#REF!</f>
        <v>#REF!</v>
      </c>
      <c r="DU103" s="20">
        <f>AV56/2</f>
        <v>60.88</v>
      </c>
      <c r="DV103" s="187">
        <f>AS51/4</f>
        <v>6.0600000000000005</v>
      </c>
      <c r="DW103" s="170">
        <f>AV31</f>
        <v>37.82</v>
      </c>
      <c r="DX103" s="93" t="e">
        <f t="shared" si="23"/>
        <v>#REF!</v>
      </c>
      <c r="DY103" s="94" t="e">
        <f t="shared" si="20"/>
        <v>#REF!</v>
      </c>
      <c r="DZ103" s="93" t="e">
        <f t="shared" si="21"/>
        <v>#REF!</v>
      </c>
      <c r="EA103" s="123" t="e">
        <f t="shared" ref="EA103:EA105" si="32">ROUND(DZ103*10.764/1,0)*1</f>
        <v>#REF!</v>
      </c>
      <c r="EB103" s="184" t="e">
        <f t="shared" ref="EB103:EB105" si="33">(EA103*$ED$54)/$EC$54</f>
        <v>#REF!</v>
      </c>
      <c r="EC103" s="96" t="e">
        <f t="shared" si="16"/>
        <v>#REF!</v>
      </c>
      <c r="ED103" s="54">
        <f t="shared" si="17"/>
        <v>44</v>
      </c>
      <c r="EE103" s="54" t="s">
        <v>458</v>
      </c>
      <c r="EF103" s="54" t="s">
        <v>222</v>
      </c>
      <c r="EG103" s="188" t="s">
        <v>514</v>
      </c>
      <c r="EH103" s="221"/>
      <c r="EI103" s="93">
        <v>413.4</v>
      </c>
      <c r="EJ103" s="221"/>
      <c r="EK103" s="221"/>
      <c r="EL103" s="176">
        <v>210.03896103896102</v>
      </c>
      <c r="EM103" s="176">
        <f t="shared" si="15"/>
        <v>623.438961038961</v>
      </c>
      <c r="EN103" s="176">
        <v>144.79119261109651</v>
      </c>
      <c r="EO103" s="123">
        <f>EM103*EI184</f>
        <v>8.5021032581453664</v>
      </c>
      <c r="EP103" s="123">
        <f>EM103*EI185</f>
        <v>0.86625203007518836</v>
      </c>
      <c r="EQ103" s="123">
        <f>EM103*EL176</f>
        <v>8.3176236591478734</v>
      </c>
      <c r="ER103" s="123">
        <f>EM103*EL177</f>
        <v>10.042106867167924</v>
      </c>
    </row>
    <row r="104" spans="2:148" s="101" customFormat="1" ht="25.15" customHeight="1" x14ac:dyDescent="0.25">
      <c r="C104" s="40"/>
      <c r="E104" s="40"/>
      <c r="I104" s="40"/>
      <c r="K104" s="223"/>
      <c r="L104" s="235" t="s">
        <v>11</v>
      </c>
      <c r="M104" s="236">
        <v>54.8</v>
      </c>
      <c r="AD104" s="40"/>
      <c r="AG104" s="40"/>
      <c r="AJ104" s="40"/>
      <c r="AM104" s="40"/>
      <c r="AP104" s="40"/>
      <c r="AS104" s="40"/>
      <c r="AV104" s="40"/>
      <c r="AY104" s="40"/>
      <c r="BB104" s="40"/>
      <c r="BE104" s="40"/>
      <c r="BH104" s="40"/>
      <c r="BK104" s="40"/>
      <c r="BN104" s="40"/>
      <c r="BQ104" s="40"/>
      <c r="BT104" s="40"/>
      <c r="BW104" s="40"/>
      <c r="BZ104" s="40"/>
      <c r="CC104" s="40"/>
      <c r="CF104" s="40"/>
      <c r="CI104" s="40"/>
      <c r="CL104" s="40"/>
      <c r="CO104" s="40"/>
      <c r="CR104" s="40"/>
      <c r="CU104" s="40"/>
      <c r="CX104" s="40"/>
      <c r="DA104" s="40"/>
      <c r="DD104" s="40"/>
      <c r="DG104" s="40"/>
      <c r="DH104" s="40"/>
      <c r="DI104" s="40"/>
      <c r="DJ104" s="40"/>
      <c r="DL104" s="54">
        <v>23</v>
      </c>
      <c r="DM104" s="86" t="s">
        <v>270</v>
      </c>
      <c r="DN104" s="54"/>
      <c r="DO104" s="54"/>
      <c r="DP104" s="54"/>
      <c r="DQ104" s="54"/>
      <c r="DR104" s="54"/>
      <c r="DS104" s="54"/>
      <c r="DT104" s="154">
        <f>AV67</f>
        <v>779.01</v>
      </c>
      <c r="DU104" s="186">
        <f>AV58/2</f>
        <v>60.88</v>
      </c>
      <c r="DV104" s="187">
        <f>AS51/4</f>
        <v>6.0600000000000005</v>
      </c>
      <c r="DW104" s="170">
        <f>AV35</f>
        <v>37.82</v>
      </c>
      <c r="DX104" s="93">
        <f t="shared" si="23"/>
        <v>883.77</v>
      </c>
      <c r="DY104" s="94">
        <f t="shared" si="20"/>
        <v>294.58999999999997</v>
      </c>
      <c r="DZ104" s="93">
        <f t="shared" si="21"/>
        <v>1178.3599999999999</v>
      </c>
      <c r="EA104" s="123">
        <f t="shared" si="32"/>
        <v>12684</v>
      </c>
      <c r="EB104" s="184" t="e">
        <f t="shared" si="33"/>
        <v>#REF!</v>
      </c>
      <c r="EC104" s="96" t="e">
        <f t="shared" si="16"/>
        <v>#REF!</v>
      </c>
      <c r="ED104" s="54">
        <f t="shared" si="17"/>
        <v>45</v>
      </c>
      <c r="EE104" s="54" t="s">
        <v>458</v>
      </c>
      <c r="EF104" s="54" t="s">
        <v>223</v>
      </c>
      <c r="EG104" s="188" t="s">
        <v>515</v>
      </c>
      <c r="EH104" s="54"/>
      <c r="EI104" s="93">
        <v>458.47</v>
      </c>
      <c r="EJ104" s="54"/>
      <c r="EK104" s="54"/>
      <c r="EL104" s="176">
        <v>212.40792207792208</v>
      </c>
      <c r="EM104" s="176">
        <f t="shared" si="15"/>
        <v>670.87792207792211</v>
      </c>
      <c r="EN104" s="176">
        <v>155.79454654220353</v>
      </c>
      <c r="EO104" s="123">
        <f>EM104*EI184</f>
        <v>9.1490486215538898</v>
      </c>
      <c r="EP104" s="123">
        <f>EM104*EI185</f>
        <v>0.93216721804511327</v>
      </c>
      <c r="EQ104" s="123">
        <f>EM104*EL176</f>
        <v>8.9505315288220597</v>
      </c>
      <c r="ER104" s="123">
        <f>EM104*EL177</f>
        <v>10.806234786967423</v>
      </c>
    </row>
    <row r="105" spans="2:148" s="101" customFormat="1" ht="25.15" customHeight="1" x14ac:dyDescent="0.25">
      <c r="C105" s="40"/>
      <c r="F105" s="40"/>
      <c r="I105" s="40"/>
      <c r="K105" s="223"/>
      <c r="L105" s="235" t="s">
        <v>4</v>
      </c>
      <c r="M105" s="237">
        <v>-2.6</v>
      </c>
      <c r="AD105" s="40"/>
      <c r="AG105" s="40"/>
      <c r="AJ105" s="40"/>
      <c r="AM105" s="40"/>
      <c r="AP105" s="40"/>
      <c r="AS105" s="40"/>
      <c r="AV105" s="40"/>
      <c r="AY105" s="40"/>
      <c r="BB105" s="40"/>
      <c r="BE105" s="40"/>
      <c r="BH105" s="40"/>
      <c r="BK105" s="40"/>
      <c r="BN105" s="40"/>
      <c r="BQ105" s="40"/>
      <c r="BT105" s="40"/>
      <c r="BW105" s="40"/>
      <c r="BZ105" s="40"/>
      <c r="CC105" s="40"/>
      <c r="CF105" s="40"/>
      <c r="CI105" s="40"/>
      <c r="CL105" s="40"/>
      <c r="CO105" s="40"/>
      <c r="CR105" s="40"/>
      <c r="CU105" s="40"/>
      <c r="CX105" s="40"/>
      <c r="DA105" s="40"/>
      <c r="DD105" s="40"/>
      <c r="DG105" s="40"/>
      <c r="DH105" s="40"/>
      <c r="DI105" s="40"/>
      <c r="DJ105" s="40"/>
      <c r="DL105" s="54">
        <v>24</v>
      </c>
      <c r="DM105" s="86" t="s">
        <v>271</v>
      </c>
      <c r="DN105" s="54"/>
      <c r="DO105" s="54"/>
      <c r="DP105" s="54"/>
      <c r="DQ105" s="54"/>
      <c r="DR105" s="54"/>
      <c r="DS105" s="54"/>
      <c r="DT105" s="154" t="e">
        <f>#REF!</f>
        <v>#REF!</v>
      </c>
      <c r="DU105" s="20">
        <f>DU104</f>
        <v>60.88</v>
      </c>
      <c r="DV105" s="187">
        <f>AS51/4</f>
        <v>6.0600000000000005</v>
      </c>
      <c r="DW105" s="170">
        <f>AV37</f>
        <v>37.82</v>
      </c>
      <c r="DX105" s="93" t="e">
        <f t="shared" si="23"/>
        <v>#REF!</v>
      </c>
      <c r="DY105" s="94" t="e">
        <f t="shared" si="20"/>
        <v>#REF!</v>
      </c>
      <c r="DZ105" s="93" t="e">
        <f t="shared" si="21"/>
        <v>#REF!</v>
      </c>
      <c r="EA105" s="123" t="e">
        <f t="shared" si="32"/>
        <v>#REF!</v>
      </c>
      <c r="EB105" s="184" t="e">
        <f t="shared" si="33"/>
        <v>#REF!</v>
      </c>
      <c r="EC105" s="96" t="e">
        <f t="shared" si="16"/>
        <v>#REF!</v>
      </c>
      <c r="ED105" s="54">
        <f t="shared" si="17"/>
        <v>46</v>
      </c>
      <c r="EE105" s="54" t="s">
        <v>458</v>
      </c>
      <c r="EF105" s="54" t="s">
        <v>223</v>
      </c>
      <c r="EG105" s="188" t="s">
        <v>516</v>
      </c>
      <c r="EH105" s="54"/>
      <c r="EI105" s="93">
        <v>434.38</v>
      </c>
      <c r="EJ105" s="54"/>
      <c r="EK105" s="54"/>
      <c r="EL105" s="176">
        <v>218.99142857142863</v>
      </c>
      <c r="EM105" s="176">
        <f t="shared" si="15"/>
        <v>653.37142857142862</v>
      </c>
      <c r="EN105" s="176">
        <v>151.73840823034448</v>
      </c>
      <c r="EO105" s="123">
        <f>EM105*EI184</f>
        <v>8.9103050960735217</v>
      </c>
      <c r="EP105" s="123">
        <f>EM105*EI185</f>
        <v>0.90784240601503807</v>
      </c>
      <c r="EQ105" s="123">
        <f>EM105*EL176</f>
        <v>8.716968287385134</v>
      </c>
      <c r="ER105" s="123">
        <f>EM105*EL177</f>
        <v>10.524247151211366</v>
      </c>
    </row>
    <row r="106" spans="2:148" s="101" customFormat="1" ht="25.15" customHeight="1" x14ac:dyDescent="0.25">
      <c r="C106" s="40"/>
      <c r="F106" s="40"/>
      <c r="I106" s="40"/>
      <c r="K106" s="223"/>
      <c r="L106" s="144" t="s">
        <v>24</v>
      </c>
      <c r="M106" s="145">
        <v>37.82</v>
      </c>
      <c r="AD106" s="40"/>
      <c r="AG106" s="40"/>
      <c r="AJ106" s="40"/>
      <c r="AL106" s="47"/>
      <c r="AM106" s="95"/>
      <c r="AP106" s="40"/>
      <c r="AS106" s="40"/>
      <c r="AV106" s="40"/>
      <c r="AY106" s="40"/>
      <c r="BB106" s="40"/>
      <c r="BE106" s="40"/>
      <c r="BH106" s="40"/>
      <c r="BK106" s="40"/>
      <c r="BN106" s="40"/>
      <c r="BQ106" s="40"/>
      <c r="BT106" s="40"/>
      <c r="BW106" s="40"/>
      <c r="BZ106" s="40"/>
      <c r="CC106" s="40"/>
      <c r="CF106" s="40"/>
      <c r="CI106" s="40"/>
      <c r="CL106" s="40"/>
      <c r="CO106" s="40"/>
      <c r="CR106" s="40"/>
      <c r="CU106" s="40"/>
      <c r="CX106" s="40"/>
      <c r="DA106" s="40"/>
      <c r="DD106" s="40"/>
      <c r="DG106" s="40"/>
      <c r="DH106" s="40"/>
      <c r="DI106" s="40"/>
      <c r="DJ106" s="40"/>
      <c r="DL106" s="54"/>
      <c r="DM106" s="39" t="s">
        <v>12</v>
      </c>
      <c r="DN106" s="54"/>
      <c r="DO106" s="54"/>
      <c r="DP106" s="54"/>
      <c r="DQ106" s="54"/>
      <c r="DR106" s="54"/>
      <c r="DS106" s="54"/>
      <c r="DT106" s="154"/>
      <c r="DU106" s="186"/>
      <c r="DV106" s="187"/>
      <c r="DW106" s="170"/>
      <c r="DX106" s="93"/>
      <c r="DY106" s="94"/>
      <c r="DZ106" s="93"/>
      <c r="EA106" s="208" t="e">
        <f>SUM(EA103:EA105)</f>
        <v>#REF!</v>
      </c>
      <c r="EB106" s="231"/>
      <c r="EC106" s="96">
        <f t="shared" si="16"/>
        <v>0</v>
      </c>
      <c r="ED106" s="54">
        <f t="shared" si="17"/>
        <v>47</v>
      </c>
      <c r="EE106" s="54" t="s">
        <v>458</v>
      </c>
      <c r="EF106" s="54" t="s">
        <v>223</v>
      </c>
      <c r="EG106" s="188" t="s">
        <v>517</v>
      </c>
      <c r="EH106" s="54"/>
      <c r="EI106" s="93">
        <v>433.14</v>
      </c>
      <c r="EJ106" s="54"/>
      <c r="EK106" s="54"/>
      <c r="EL106" s="176">
        <v>214.3483116883117</v>
      </c>
      <c r="EM106" s="176">
        <f t="shared" si="15"/>
        <v>647.48831168831168</v>
      </c>
      <c r="EN106" s="176">
        <v>150.37917039179595</v>
      </c>
      <c r="EO106" s="123">
        <f>EM106*EI184</f>
        <v>8.8300745196324186</v>
      </c>
      <c r="EP106" s="123">
        <f>EM106*EI185</f>
        <v>0.89966796992481246</v>
      </c>
      <c r="EQ106" s="123">
        <f>EM106*EL176</f>
        <v>8.6384785630743561</v>
      </c>
      <c r="ER106" s="123">
        <f>EM106*EL177</f>
        <v>10.429484243943195</v>
      </c>
    </row>
    <row r="107" spans="2:148" s="101" customFormat="1" ht="25.15" customHeight="1" x14ac:dyDescent="0.25">
      <c r="C107" s="40"/>
      <c r="F107" s="40"/>
      <c r="I107" s="40"/>
      <c r="K107" s="223"/>
      <c r="L107" s="144" t="s">
        <v>38</v>
      </c>
      <c r="M107" s="145">
        <v>37.82</v>
      </c>
      <c r="AD107" s="40"/>
      <c r="AF107" s="47"/>
      <c r="AG107" s="95"/>
      <c r="AJ107" s="40"/>
      <c r="AM107" s="40"/>
      <c r="AP107" s="40"/>
      <c r="AS107" s="40"/>
      <c r="AV107" s="40"/>
      <c r="AY107" s="40"/>
      <c r="BB107" s="40"/>
      <c r="BE107" s="40"/>
      <c r="BH107" s="40"/>
      <c r="BK107" s="40"/>
      <c r="BN107" s="40"/>
      <c r="BQ107" s="40"/>
      <c r="BT107" s="40"/>
      <c r="BW107" s="40"/>
      <c r="BZ107" s="40"/>
      <c r="CC107" s="40"/>
      <c r="CF107" s="40"/>
      <c r="CI107" s="40"/>
      <c r="CL107" s="40"/>
      <c r="CO107" s="40"/>
      <c r="CR107" s="40"/>
      <c r="CU107" s="40"/>
      <c r="CX107" s="40"/>
      <c r="DA107" s="40"/>
      <c r="DD107" s="40"/>
      <c r="DG107" s="40"/>
      <c r="DH107" s="40"/>
      <c r="DI107" s="40"/>
      <c r="DJ107" s="40"/>
      <c r="DL107" s="54"/>
      <c r="DM107" s="39" t="s">
        <v>335</v>
      </c>
      <c r="DN107" s="54"/>
      <c r="DO107" s="54"/>
      <c r="DP107" s="54"/>
      <c r="DQ107" s="54"/>
      <c r="DR107" s="54"/>
      <c r="DS107" s="54"/>
      <c r="DT107" s="154"/>
      <c r="DU107" s="186"/>
      <c r="DV107" s="187"/>
      <c r="DW107" s="170"/>
      <c r="DX107" s="93"/>
      <c r="DY107" s="94"/>
      <c r="DZ107" s="93"/>
      <c r="EA107" s="86"/>
      <c r="EB107" s="231"/>
      <c r="EC107" s="96">
        <f t="shared" si="16"/>
        <v>0</v>
      </c>
      <c r="ED107" s="54">
        <f t="shared" si="17"/>
        <v>48</v>
      </c>
      <c r="EE107" s="54" t="s">
        <v>458</v>
      </c>
      <c r="EF107" s="54" t="s">
        <v>223</v>
      </c>
      <c r="EG107" s="188" t="s">
        <v>518</v>
      </c>
      <c r="EH107" s="54"/>
      <c r="EI107" s="93">
        <v>341.81</v>
      </c>
      <c r="EJ107" s="54"/>
      <c r="EK107" s="54"/>
      <c r="EL107" s="176">
        <v>172.02896103896109</v>
      </c>
      <c r="EM107" s="176">
        <f t="shared" si="15"/>
        <v>513.83896103896109</v>
      </c>
      <c r="EN107" s="176">
        <v>119.33245214304496</v>
      </c>
      <c r="EO107" s="123">
        <f>EM107*EI184</f>
        <v>7.0074412698412738</v>
      </c>
      <c r="EP107" s="123">
        <f>EM107*EI185</f>
        <v>0.71396571428571476</v>
      </c>
      <c r="EQ107" s="123">
        <f>EM107*EL176</f>
        <v>6.8553930158730196</v>
      </c>
      <c r="ER107" s="123">
        <f>EM107*EL177</f>
        <v>8.2767136507936545</v>
      </c>
    </row>
    <row r="108" spans="2:148" s="101" customFormat="1" ht="25.15" customHeight="1" x14ac:dyDescent="0.25">
      <c r="C108" s="40"/>
      <c r="F108" s="40"/>
      <c r="I108" s="40"/>
      <c r="K108" s="223"/>
      <c r="L108" s="146" t="s">
        <v>36</v>
      </c>
      <c r="M108" s="147">
        <f>15.8-3.68</f>
        <v>12.120000000000001</v>
      </c>
      <c r="AC108" s="47"/>
      <c r="AD108" s="95"/>
      <c r="AG108" s="40"/>
      <c r="AJ108" s="40"/>
      <c r="AM108" s="40"/>
      <c r="AP108" s="40"/>
      <c r="AS108" s="40"/>
      <c r="AV108" s="40"/>
      <c r="AY108" s="40"/>
      <c r="BB108" s="40"/>
      <c r="BE108" s="40"/>
      <c r="BH108" s="40"/>
      <c r="BK108" s="40"/>
      <c r="BN108" s="40"/>
      <c r="BQ108" s="40"/>
      <c r="BT108" s="40"/>
      <c r="BW108" s="40"/>
      <c r="BZ108" s="40"/>
      <c r="CC108" s="40"/>
      <c r="CF108" s="40"/>
      <c r="CI108" s="40"/>
      <c r="CL108" s="40"/>
      <c r="CO108" s="40"/>
      <c r="CR108" s="40"/>
      <c r="CU108" s="40"/>
      <c r="CX108" s="40"/>
      <c r="DA108" s="40"/>
      <c r="DD108" s="40"/>
      <c r="DG108" s="40"/>
      <c r="DH108" s="40"/>
      <c r="DI108" s="40"/>
      <c r="DJ108" s="40"/>
      <c r="DL108" s="54">
        <v>25</v>
      </c>
      <c r="DM108" s="86" t="s">
        <v>256</v>
      </c>
      <c r="DN108" s="54">
        <f>3859.21-924.16</f>
        <v>2935.05</v>
      </c>
      <c r="DO108" s="54">
        <v>208.39</v>
      </c>
      <c r="DP108" s="54">
        <v>18.39</v>
      </c>
      <c r="DQ108" s="54"/>
      <c r="DR108" s="54">
        <v>134.99</v>
      </c>
      <c r="DS108" s="54">
        <f>DN108+DO108+DP108+DQ108+DR108</f>
        <v>3296.8199999999997</v>
      </c>
      <c r="DT108" s="19" t="e">
        <f>#REF!</f>
        <v>#REF!</v>
      </c>
      <c r="DU108" s="20">
        <f>AY56/2</f>
        <v>60.88</v>
      </c>
      <c r="DV108" s="187">
        <f>AY51/4</f>
        <v>6.0600000000000005</v>
      </c>
      <c r="DW108" s="170">
        <f>AY31</f>
        <v>37.82</v>
      </c>
      <c r="DX108" s="93" t="e">
        <f>DT108+DU108+DV108+DW108</f>
        <v>#REF!</v>
      </c>
      <c r="DY108" s="94" t="e">
        <f t="shared" si="20"/>
        <v>#REF!</v>
      </c>
      <c r="DZ108" s="93" t="e">
        <f t="shared" si="21"/>
        <v>#REF!</v>
      </c>
      <c r="EA108" s="123" t="e">
        <f t="shared" ref="EA108:EA110" si="34">ROUND(DZ108*10.764/1,0)*1</f>
        <v>#REF!</v>
      </c>
      <c r="EB108" s="184" t="e">
        <f t="shared" ref="EB108:EB110" si="35">(EA108*$ED$54)/$EC$54</f>
        <v>#REF!</v>
      </c>
      <c r="EC108" s="96" t="e">
        <f t="shared" si="16"/>
        <v>#REF!</v>
      </c>
      <c r="ED108" s="54">
        <f t="shared" si="17"/>
        <v>49</v>
      </c>
      <c r="EE108" s="54" t="s">
        <v>458</v>
      </c>
      <c r="EF108" s="54" t="s">
        <v>223</v>
      </c>
      <c r="EG108" s="188" t="s">
        <v>519</v>
      </c>
      <c r="EH108" s="54"/>
      <c r="EI108" s="93">
        <v>348.24</v>
      </c>
      <c r="EJ108" s="54"/>
      <c r="EK108" s="54"/>
      <c r="EL108" s="176">
        <v>175.10545454545456</v>
      </c>
      <c r="EM108" s="176">
        <f t="shared" si="15"/>
        <v>523.34545454545457</v>
      </c>
      <c r="EN108" s="176">
        <v>121.53312292926636</v>
      </c>
      <c r="EO108" s="123">
        <f>EM108*EI184</f>
        <v>7.1370853801169627</v>
      </c>
      <c r="EP108" s="123">
        <f>EM108*EI185</f>
        <v>0.72717473684210565</v>
      </c>
      <c r="EQ108" s="123">
        <f>EM108*EL176</f>
        <v>6.9822240935672548</v>
      </c>
      <c r="ER108" s="123">
        <f>EM108*EL177</f>
        <v>8.4298404678362608</v>
      </c>
    </row>
    <row r="109" spans="2:148" s="101" customFormat="1" ht="25.15" customHeight="1" x14ac:dyDescent="0.25">
      <c r="C109" s="40"/>
      <c r="F109" s="40"/>
      <c r="I109" s="40"/>
      <c r="K109" s="223"/>
      <c r="L109" s="146" t="s">
        <v>74</v>
      </c>
      <c r="M109" s="147">
        <v>7.07</v>
      </c>
      <c r="AD109" s="40"/>
      <c r="AG109" s="40"/>
      <c r="AJ109" s="40"/>
      <c r="AM109" s="40"/>
      <c r="AP109" s="40"/>
      <c r="AS109" s="40"/>
      <c r="AV109" s="40"/>
      <c r="AY109" s="40"/>
      <c r="BB109" s="40"/>
      <c r="BE109" s="40"/>
      <c r="BH109" s="40"/>
      <c r="BK109" s="40"/>
      <c r="BN109" s="40"/>
      <c r="BQ109" s="40"/>
      <c r="BT109" s="40"/>
      <c r="BW109" s="40"/>
      <c r="BZ109" s="40"/>
      <c r="CC109" s="40"/>
      <c r="CF109" s="40"/>
      <c r="CI109" s="40"/>
      <c r="CL109" s="40"/>
      <c r="CO109" s="40"/>
      <c r="CR109" s="40"/>
      <c r="CU109" s="40"/>
      <c r="CX109" s="40"/>
      <c r="DA109" s="40"/>
      <c r="DD109" s="40"/>
      <c r="DG109" s="40"/>
      <c r="DH109" s="40"/>
      <c r="DI109" s="40"/>
      <c r="DJ109" s="40"/>
      <c r="DL109" s="54">
        <v>27</v>
      </c>
      <c r="DM109" s="86" t="s">
        <v>264</v>
      </c>
      <c r="DN109" s="54"/>
      <c r="DO109" s="54"/>
      <c r="DP109" s="54"/>
      <c r="DQ109" s="54"/>
      <c r="DR109" s="54"/>
      <c r="DS109" s="54"/>
      <c r="DT109" s="154">
        <f>AY67</f>
        <v>808.26</v>
      </c>
      <c r="DU109" s="186">
        <f>AY58/2</f>
        <v>60.88</v>
      </c>
      <c r="DV109" s="187">
        <f>AY51/4</f>
        <v>6.0600000000000005</v>
      </c>
      <c r="DW109" s="170">
        <f>AY35</f>
        <v>37.82</v>
      </c>
      <c r="DX109" s="93">
        <f>DT109+DU109+DV109+DW109</f>
        <v>913.02</v>
      </c>
      <c r="DY109" s="94">
        <f t="shared" si="20"/>
        <v>304.33999999999997</v>
      </c>
      <c r="DZ109" s="93">
        <f t="shared" si="21"/>
        <v>1217.3599999999999</v>
      </c>
      <c r="EA109" s="123">
        <f t="shared" si="34"/>
        <v>13104</v>
      </c>
      <c r="EB109" s="184" t="e">
        <f t="shared" si="35"/>
        <v>#REF!</v>
      </c>
      <c r="EC109" s="96" t="e">
        <f t="shared" si="16"/>
        <v>#REF!</v>
      </c>
      <c r="ED109" s="54">
        <f t="shared" si="17"/>
        <v>50</v>
      </c>
      <c r="EE109" s="54" t="s">
        <v>458</v>
      </c>
      <c r="EF109" s="54" t="s">
        <v>583</v>
      </c>
      <c r="EG109" s="188" t="s">
        <v>520</v>
      </c>
      <c r="EH109" s="54"/>
      <c r="EI109" s="93">
        <v>593.49</v>
      </c>
      <c r="EJ109" s="54"/>
      <c r="EK109" s="54"/>
      <c r="EL109" s="176">
        <v>272.32558441558444</v>
      </c>
      <c r="EM109" s="176">
        <f t="shared" si="15"/>
        <v>865.81558441558445</v>
      </c>
      <c r="EN109" s="176">
        <v>201.08089929003418</v>
      </c>
      <c r="EO109" s="123">
        <f>EM109*EI184</f>
        <v>11.807496741854644</v>
      </c>
      <c r="EP109" s="123">
        <f>EM109*EI185</f>
        <v>1.2030279699248128</v>
      </c>
      <c r="EQ109" s="123">
        <f>EM109*EL176</f>
        <v>11.551296340852137</v>
      </c>
      <c r="ER109" s="123">
        <f>EM109*EL177</f>
        <v>13.946213132832087</v>
      </c>
    </row>
    <row r="110" spans="2:148" s="101" customFormat="1" ht="25.15" customHeight="1" x14ac:dyDescent="0.25">
      <c r="C110" s="40"/>
      <c r="F110" s="40"/>
      <c r="I110" s="40"/>
      <c r="K110" s="223"/>
      <c r="L110" s="146" t="s">
        <v>72</v>
      </c>
      <c r="M110" s="147">
        <v>16.010000000000002</v>
      </c>
      <c r="AD110" s="40"/>
      <c r="AG110" s="40"/>
      <c r="AJ110" s="40"/>
      <c r="AM110" s="40"/>
      <c r="AP110" s="40"/>
      <c r="AS110" s="40"/>
      <c r="AV110" s="40"/>
      <c r="AY110" s="40"/>
      <c r="BB110" s="40"/>
      <c r="BE110" s="40"/>
      <c r="BH110" s="40"/>
      <c r="BK110" s="40"/>
      <c r="BN110" s="40"/>
      <c r="BQ110" s="40"/>
      <c r="BT110" s="40"/>
      <c r="BW110" s="40"/>
      <c r="BZ110" s="40"/>
      <c r="CC110" s="40"/>
      <c r="CF110" s="40"/>
      <c r="CI110" s="40"/>
      <c r="CL110" s="40"/>
      <c r="CO110" s="40"/>
      <c r="CR110" s="40"/>
      <c r="CU110" s="40"/>
      <c r="CX110" s="40"/>
      <c r="DA110" s="40"/>
      <c r="DD110" s="40"/>
      <c r="DG110" s="40"/>
      <c r="DH110" s="40"/>
      <c r="DI110" s="40"/>
      <c r="DJ110" s="40"/>
      <c r="DL110" s="54">
        <v>28</v>
      </c>
      <c r="DM110" s="86" t="s">
        <v>265</v>
      </c>
      <c r="DN110" s="54"/>
      <c r="DO110" s="54"/>
      <c r="DP110" s="54"/>
      <c r="DQ110" s="54"/>
      <c r="DR110" s="54"/>
      <c r="DS110" s="54"/>
      <c r="DT110" s="154" t="e">
        <f>#REF!</f>
        <v>#REF!</v>
      </c>
      <c r="DU110" s="20">
        <f>DU109</f>
        <v>60.88</v>
      </c>
      <c r="DV110" s="187">
        <f>AY51/4</f>
        <v>6.0600000000000005</v>
      </c>
      <c r="DW110" s="170">
        <f>AY37</f>
        <v>37.82</v>
      </c>
      <c r="DX110" s="93" t="e">
        <f>DT110+DU110+DV110+DW110</f>
        <v>#REF!</v>
      </c>
      <c r="DY110" s="94" t="e">
        <f t="shared" si="20"/>
        <v>#REF!</v>
      </c>
      <c r="DZ110" s="93" t="e">
        <f t="shared" si="21"/>
        <v>#REF!</v>
      </c>
      <c r="EA110" s="123" t="e">
        <f t="shared" si="34"/>
        <v>#REF!</v>
      </c>
      <c r="EB110" s="184" t="e">
        <f t="shared" si="35"/>
        <v>#REF!</v>
      </c>
      <c r="EC110" s="96" t="e">
        <f t="shared" si="16"/>
        <v>#REF!</v>
      </c>
      <c r="ED110" s="54">
        <f t="shared" si="17"/>
        <v>51</v>
      </c>
      <c r="EE110" s="54" t="s">
        <v>458</v>
      </c>
      <c r="EF110" s="54" t="s">
        <v>583</v>
      </c>
      <c r="EG110" s="188" t="s">
        <v>521</v>
      </c>
      <c r="EH110" s="54"/>
      <c r="EI110" s="93">
        <v>436.28</v>
      </c>
      <c r="EJ110" s="54"/>
      <c r="EK110" s="54"/>
      <c r="EL110" s="176">
        <v>228.28883116883117</v>
      </c>
      <c r="EM110" s="176">
        <f t="shared" si="15"/>
        <v>664.56883116883114</v>
      </c>
      <c r="EN110" s="176">
        <v>154.3274326847226</v>
      </c>
      <c r="EO110" s="123">
        <f>EM110*EI184</f>
        <v>9.0630088554720167</v>
      </c>
      <c r="EP110" s="123">
        <f>EM110*EI185</f>
        <v>0.92340090225563953</v>
      </c>
      <c r="EQ110" s="123">
        <f>EM110*EL176</f>
        <v>8.8663586633249825</v>
      </c>
      <c r="ER110" s="123">
        <f>EM110*EL177</f>
        <v>10.704610459482042</v>
      </c>
    </row>
    <row r="111" spans="2:148" s="101" customFormat="1" ht="25.15" customHeight="1" x14ac:dyDescent="0.25">
      <c r="C111" s="40"/>
      <c r="F111" s="40"/>
      <c r="I111" s="40"/>
      <c r="K111" s="223"/>
      <c r="L111" s="146" t="s">
        <v>73</v>
      </c>
      <c r="M111" s="147">
        <v>18.28</v>
      </c>
      <c r="AD111" s="40"/>
      <c r="AG111" s="40"/>
      <c r="AJ111" s="40"/>
      <c r="AL111" s="47"/>
      <c r="AM111" s="95"/>
      <c r="AP111" s="40"/>
      <c r="AS111" s="40"/>
      <c r="AV111" s="40"/>
      <c r="AY111" s="40"/>
      <c r="BB111" s="40"/>
      <c r="BE111" s="40"/>
      <c r="BH111" s="40"/>
      <c r="BK111" s="40"/>
      <c r="BN111" s="40"/>
      <c r="BQ111" s="40"/>
      <c r="BT111" s="40"/>
      <c r="BW111" s="40"/>
      <c r="BZ111" s="40"/>
      <c r="CC111" s="40"/>
      <c r="CF111" s="40"/>
      <c r="CI111" s="40"/>
      <c r="CL111" s="40"/>
      <c r="CO111" s="40"/>
      <c r="CR111" s="40"/>
      <c r="CU111" s="40"/>
      <c r="CX111" s="40"/>
      <c r="DA111" s="40"/>
      <c r="DD111" s="40"/>
      <c r="DG111" s="40"/>
      <c r="DH111" s="40"/>
      <c r="DI111" s="40"/>
      <c r="DJ111" s="40"/>
      <c r="DL111" s="54"/>
      <c r="DM111" s="39" t="s">
        <v>12</v>
      </c>
      <c r="DN111" s="54"/>
      <c r="DO111" s="54"/>
      <c r="DP111" s="54"/>
      <c r="DQ111" s="54"/>
      <c r="DR111" s="54"/>
      <c r="DS111" s="54"/>
      <c r="DT111" s="154"/>
      <c r="DU111" s="186"/>
      <c r="DV111" s="187"/>
      <c r="DW111" s="170"/>
      <c r="DX111" s="93"/>
      <c r="DY111" s="94"/>
      <c r="DZ111" s="93"/>
      <c r="EA111" s="208" t="e">
        <f>SUM(EA108:EA110)</f>
        <v>#REF!</v>
      </c>
      <c r="EB111" s="231"/>
      <c r="EC111" s="96">
        <f t="shared" si="16"/>
        <v>0</v>
      </c>
      <c r="ED111" s="54">
        <f t="shared" si="17"/>
        <v>52</v>
      </c>
      <c r="EE111" s="54" t="s">
        <v>458</v>
      </c>
      <c r="EF111" s="54" t="s">
        <v>583</v>
      </c>
      <c r="EG111" s="188" t="s">
        <v>522</v>
      </c>
      <c r="EH111" s="54"/>
      <c r="EI111" s="93">
        <v>434.71</v>
      </c>
      <c r="EJ111" s="54"/>
      <c r="EK111" s="54"/>
      <c r="EL111" s="176">
        <v>224.15753246753258</v>
      </c>
      <c r="EM111" s="176">
        <f t="shared" si="15"/>
        <v>658.86753246753256</v>
      </c>
      <c r="EN111" s="176">
        <v>153.01134525374704</v>
      </c>
      <c r="EO111" s="123">
        <f>EM111*EI184</f>
        <v>8.9852578111946588</v>
      </c>
      <c r="EP111" s="123">
        <f>EM111*EI185</f>
        <v>0.91547909774436143</v>
      </c>
      <c r="EQ111" s="123">
        <f>EM111*EL176</f>
        <v>8.7902946700083593</v>
      </c>
      <c r="ER111" s="123">
        <f>EM111*EL177</f>
        <v>10.612776207184634</v>
      </c>
    </row>
    <row r="112" spans="2:148" s="101" customFormat="1" ht="25.15" customHeight="1" x14ac:dyDescent="0.25">
      <c r="C112" s="40"/>
      <c r="F112" s="40"/>
      <c r="I112" s="40"/>
      <c r="K112" s="223"/>
      <c r="L112" s="146" t="s">
        <v>64</v>
      </c>
      <c r="M112" s="147">
        <v>9.51</v>
      </c>
      <c r="AD112" s="40"/>
      <c r="AF112" s="47"/>
      <c r="AG112" s="95"/>
      <c r="AJ112" s="40"/>
      <c r="AM112" s="40"/>
      <c r="AP112" s="40"/>
      <c r="AS112" s="40"/>
      <c r="AV112" s="40"/>
      <c r="AY112" s="40"/>
      <c r="BB112" s="40"/>
      <c r="BE112" s="40"/>
      <c r="BH112" s="40"/>
      <c r="BK112" s="40"/>
      <c r="BN112" s="40"/>
      <c r="BQ112" s="40"/>
      <c r="BT112" s="40"/>
      <c r="BW112" s="40"/>
      <c r="BZ112" s="40"/>
      <c r="CC112" s="40"/>
      <c r="CF112" s="40"/>
      <c r="CI112" s="40"/>
      <c r="CL112" s="40"/>
      <c r="CO112" s="40"/>
      <c r="CR112" s="40"/>
      <c r="CU112" s="40"/>
      <c r="CX112" s="40"/>
      <c r="DA112" s="40"/>
      <c r="DD112" s="40"/>
      <c r="DG112" s="40"/>
      <c r="DH112" s="40"/>
      <c r="DI112" s="40"/>
      <c r="DJ112" s="40"/>
      <c r="DL112" s="54"/>
      <c r="DM112" s="39" t="s">
        <v>336</v>
      </c>
      <c r="DN112" s="54"/>
      <c r="DO112" s="54"/>
      <c r="DP112" s="54"/>
      <c r="DQ112" s="54"/>
      <c r="DR112" s="54"/>
      <c r="DS112" s="54"/>
      <c r="DT112" s="154"/>
      <c r="DU112" s="186"/>
      <c r="DV112" s="187"/>
      <c r="DW112" s="170"/>
      <c r="DX112" s="93"/>
      <c r="DY112" s="94"/>
      <c r="DZ112" s="93"/>
      <c r="EA112" s="86"/>
      <c r="EB112" s="231"/>
      <c r="EC112" s="96">
        <f t="shared" si="16"/>
        <v>0</v>
      </c>
      <c r="ED112" s="54">
        <f t="shared" si="17"/>
        <v>53</v>
      </c>
      <c r="EE112" s="54" t="s">
        <v>458</v>
      </c>
      <c r="EF112" s="54" t="s">
        <v>583</v>
      </c>
      <c r="EG112" s="188" t="s">
        <v>523</v>
      </c>
      <c r="EH112" s="54"/>
      <c r="EI112" s="93">
        <v>342.15</v>
      </c>
      <c r="EJ112" s="54"/>
      <c r="EK112" s="54"/>
      <c r="EL112" s="176">
        <v>182.74350649350652</v>
      </c>
      <c r="EM112" s="176">
        <f t="shared" si="15"/>
        <v>524.89350649350649</v>
      </c>
      <c r="EN112" s="176">
        <v>121.8999013936366</v>
      </c>
      <c r="EO112" s="123">
        <f>EM112*EI184</f>
        <v>7.1581968253968293</v>
      </c>
      <c r="EP112" s="123">
        <f>EM112*EI185</f>
        <v>0.72932571428571469</v>
      </c>
      <c r="EQ112" s="123">
        <f>EM112*EL176</f>
        <v>7.0028774603174639</v>
      </c>
      <c r="ER112" s="123">
        <f>EM112*EL177</f>
        <v>8.4547758730158762</v>
      </c>
    </row>
    <row r="113" spans="3:148" s="101" customFormat="1" ht="25.15" customHeight="1" x14ac:dyDescent="0.25">
      <c r="C113" s="40"/>
      <c r="F113" s="40"/>
      <c r="I113" s="40"/>
      <c r="K113" s="223"/>
      <c r="L113" s="146" t="s">
        <v>147</v>
      </c>
      <c r="M113" s="147">
        <v>1.86</v>
      </c>
      <c r="AC113" s="47"/>
      <c r="AD113" s="95"/>
      <c r="AG113" s="40"/>
      <c r="AJ113" s="40"/>
      <c r="AM113" s="40"/>
      <c r="AP113" s="40"/>
      <c r="AS113" s="40"/>
      <c r="AV113" s="40"/>
      <c r="AY113" s="40"/>
      <c r="BB113" s="40"/>
      <c r="BE113" s="40"/>
      <c r="BH113" s="40"/>
      <c r="BK113" s="40"/>
      <c r="BN113" s="40"/>
      <c r="BQ113" s="40"/>
      <c r="BT113" s="40"/>
      <c r="BW113" s="40"/>
      <c r="BZ113" s="40"/>
      <c r="CC113" s="40"/>
      <c r="CF113" s="40"/>
      <c r="CI113" s="40"/>
      <c r="CL113" s="40"/>
      <c r="CO113" s="40"/>
      <c r="CR113" s="40"/>
      <c r="CU113" s="40"/>
      <c r="CX113" s="40"/>
      <c r="DA113" s="40"/>
      <c r="DD113" s="40"/>
      <c r="DG113" s="40"/>
      <c r="DH113" s="40"/>
      <c r="DI113" s="40"/>
      <c r="DJ113" s="40"/>
      <c r="DL113" s="54">
        <v>29</v>
      </c>
      <c r="DM113" s="86" t="s">
        <v>257</v>
      </c>
      <c r="DN113" s="54">
        <f>3859.17-1030.56</f>
        <v>2828.61</v>
      </c>
      <c r="DO113" s="54">
        <v>208.39</v>
      </c>
      <c r="DP113" s="54">
        <v>18.39</v>
      </c>
      <c r="DQ113" s="54"/>
      <c r="DR113" s="54">
        <v>134.99</v>
      </c>
      <c r="DS113" s="54">
        <f>DN113+DO113+DP113+DQ113+DR113</f>
        <v>3190.38</v>
      </c>
      <c r="DT113" s="154" t="e">
        <f>#REF!</f>
        <v>#REF!</v>
      </c>
      <c r="DU113" s="20">
        <f>BB56/2</f>
        <v>60.88</v>
      </c>
      <c r="DV113" s="187">
        <f>BB51/4</f>
        <v>6.0600000000000005</v>
      </c>
      <c r="DW113" s="170">
        <f>BB31</f>
        <v>37.82</v>
      </c>
      <c r="DX113" s="93" t="e">
        <f>DT113+DU113+DV113+DW113</f>
        <v>#REF!</v>
      </c>
      <c r="DY113" s="94" t="e">
        <f t="shared" si="20"/>
        <v>#REF!</v>
      </c>
      <c r="DZ113" s="93" t="e">
        <f t="shared" si="21"/>
        <v>#REF!</v>
      </c>
      <c r="EA113" s="123" t="e">
        <f t="shared" ref="EA113:EA115" si="36">ROUND(DZ113*10.764/1,0)*1</f>
        <v>#REF!</v>
      </c>
      <c r="EB113" s="184" t="e">
        <f t="shared" ref="EB113:EB115" si="37">(EA113*$ED$54)/$EC$54</f>
        <v>#REF!</v>
      </c>
      <c r="EC113" s="96" t="e">
        <f t="shared" si="16"/>
        <v>#REF!</v>
      </c>
      <c r="ED113" s="54">
        <f t="shared" si="17"/>
        <v>54</v>
      </c>
      <c r="EE113" s="54" t="s">
        <v>458</v>
      </c>
      <c r="EF113" s="54" t="s">
        <v>583</v>
      </c>
      <c r="EG113" s="188" t="s">
        <v>524</v>
      </c>
      <c r="EH113" s="54"/>
      <c r="EI113" s="93">
        <v>411.44</v>
      </c>
      <c r="EJ113" s="54"/>
      <c r="EK113" s="54"/>
      <c r="EL113" s="176">
        <v>209.01194805194808</v>
      </c>
      <c r="EM113" s="176">
        <f t="shared" si="15"/>
        <v>620.45194805194808</v>
      </c>
      <c r="EN113" s="176">
        <v>144.10078608992899</v>
      </c>
      <c r="EO113" s="123">
        <f>EM113*EI184</f>
        <v>8.4613680868838816</v>
      </c>
      <c r="EP113" s="123">
        <f>EM113*EI185</f>
        <v>0.86210165413533879</v>
      </c>
      <c r="EQ113" s="123">
        <f>EM113*EL176</f>
        <v>8.2777723642439476</v>
      </c>
      <c r="ER113" s="123">
        <f>EM113*EL177</f>
        <v>9.9939932497911492</v>
      </c>
    </row>
    <row r="114" spans="3:148" s="101" customFormat="1" ht="25.15" customHeight="1" x14ac:dyDescent="0.25">
      <c r="C114" s="40"/>
      <c r="F114" s="40"/>
      <c r="I114" s="40"/>
      <c r="K114" s="223"/>
      <c r="L114" s="146" t="s">
        <v>328</v>
      </c>
      <c r="M114" s="147">
        <v>74.41</v>
      </c>
      <c r="AD114" s="40"/>
      <c r="AG114" s="40"/>
      <c r="AJ114" s="40"/>
      <c r="AM114" s="40"/>
      <c r="AP114" s="40"/>
      <c r="AS114" s="40"/>
      <c r="AV114" s="40"/>
      <c r="AY114" s="40"/>
      <c r="BB114" s="40"/>
      <c r="BE114" s="40"/>
      <c r="BH114" s="40"/>
      <c r="BK114" s="40"/>
      <c r="BN114" s="40"/>
      <c r="BQ114" s="40"/>
      <c r="BT114" s="40"/>
      <c r="BW114" s="40"/>
      <c r="BZ114" s="40"/>
      <c r="CC114" s="40"/>
      <c r="CF114" s="40"/>
      <c r="CI114" s="40"/>
      <c r="CL114" s="40"/>
      <c r="CO114" s="40"/>
      <c r="CR114" s="40"/>
      <c r="CU114" s="40"/>
      <c r="CX114" s="40"/>
      <c r="DA114" s="40"/>
      <c r="DD114" s="40"/>
      <c r="DG114" s="40"/>
      <c r="DH114" s="40"/>
      <c r="DI114" s="40"/>
      <c r="DJ114" s="40"/>
      <c r="DL114" s="54">
        <v>31</v>
      </c>
      <c r="DM114" s="86" t="s">
        <v>267</v>
      </c>
      <c r="DN114" s="54"/>
      <c r="DO114" s="54"/>
      <c r="DP114" s="54"/>
      <c r="DQ114" s="54"/>
      <c r="DR114" s="54"/>
      <c r="DS114" s="54"/>
      <c r="DT114" s="154">
        <f>BB67</f>
        <v>779.01</v>
      </c>
      <c r="DU114" s="186">
        <f>BB58/2</f>
        <v>60.88</v>
      </c>
      <c r="DV114" s="187">
        <f>BB51/4</f>
        <v>6.0600000000000005</v>
      </c>
      <c r="DW114" s="170">
        <f>BB35</f>
        <v>37.82</v>
      </c>
      <c r="DX114" s="93">
        <f>DT114+DU114+DV114+DW114</f>
        <v>883.77</v>
      </c>
      <c r="DY114" s="94">
        <f t="shared" si="20"/>
        <v>294.58999999999997</v>
      </c>
      <c r="DZ114" s="93">
        <f t="shared" si="21"/>
        <v>1178.3599999999999</v>
      </c>
      <c r="EA114" s="123">
        <f t="shared" si="36"/>
        <v>12684</v>
      </c>
      <c r="EB114" s="184" t="e">
        <f t="shared" si="37"/>
        <v>#REF!</v>
      </c>
      <c r="EC114" s="96" t="e">
        <f t="shared" si="16"/>
        <v>#REF!</v>
      </c>
      <c r="ED114" s="54">
        <f t="shared" si="17"/>
        <v>55</v>
      </c>
      <c r="EE114" s="54" t="s">
        <v>458</v>
      </c>
      <c r="EF114" s="54" t="s">
        <v>581</v>
      </c>
      <c r="EG114" s="188" t="s">
        <v>525</v>
      </c>
      <c r="EH114" s="54"/>
      <c r="EI114" s="93">
        <v>593.49</v>
      </c>
      <c r="EJ114" s="54"/>
      <c r="EK114" s="54"/>
      <c r="EL114" s="176">
        <v>272.32558441558444</v>
      </c>
      <c r="EM114" s="176">
        <f t="shared" ref="EM114:EM118" si="38">EI114+EL114</f>
        <v>865.81558441558445</v>
      </c>
      <c r="EN114" s="176">
        <v>201.08089929003418</v>
      </c>
      <c r="EO114" s="123">
        <f>EM114*EI184</f>
        <v>11.807496741854644</v>
      </c>
      <c r="EP114" s="123">
        <f>EM114*EI185</f>
        <v>1.2030279699248128</v>
      </c>
      <c r="EQ114" s="123">
        <f>EM114*EL176</f>
        <v>11.551296340852137</v>
      </c>
      <c r="ER114" s="123">
        <f>EM114*EL177</f>
        <v>13.946213132832087</v>
      </c>
    </row>
    <row r="115" spans="3:148" s="101" customFormat="1" ht="25.15" customHeight="1" x14ac:dyDescent="0.25">
      <c r="C115" s="40"/>
      <c r="F115" s="40"/>
      <c r="I115" s="40"/>
      <c r="K115" s="223"/>
      <c r="L115" s="47"/>
      <c r="M115" s="95"/>
      <c r="AD115" s="40"/>
      <c r="AG115" s="40"/>
      <c r="AJ115" s="40"/>
      <c r="AM115" s="40"/>
      <c r="AP115" s="40"/>
      <c r="AS115" s="40"/>
      <c r="AV115" s="40"/>
      <c r="AY115" s="40"/>
      <c r="BB115" s="40"/>
      <c r="BE115" s="40"/>
      <c r="BH115" s="40"/>
      <c r="BK115" s="40"/>
      <c r="BN115" s="40"/>
      <c r="BQ115" s="40"/>
      <c r="BT115" s="40"/>
      <c r="BW115" s="40"/>
      <c r="BZ115" s="40"/>
      <c r="CC115" s="40"/>
      <c r="CF115" s="40"/>
      <c r="CI115" s="40"/>
      <c r="CL115" s="40"/>
      <c r="CO115" s="40"/>
      <c r="CR115" s="40"/>
      <c r="CU115" s="40"/>
      <c r="CX115" s="40"/>
      <c r="DA115" s="40"/>
      <c r="DD115" s="40"/>
      <c r="DG115" s="40"/>
      <c r="DH115" s="40"/>
      <c r="DI115" s="40"/>
      <c r="DJ115" s="40"/>
      <c r="DL115" s="54">
        <v>32</v>
      </c>
      <c r="DM115" s="86" t="s">
        <v>268</v>
      </c>
      <c r="DN115" s="54"/>
      <c r="DO115" s="54"/>
      <c r="DP115" s="54"/>
      <c r="DQ115" s="54"/>
      <c r="DR115" s="54"/>
      <c r="DS115" s="54"/>
      <c r="DT115" s="154" t="e">
        <f>#REF!</f>
        <v>#REF!</v>
      </c>
      <c r="DU115" s="20">
        <f>DU114</f>
        <v>60.88</v>
      </c>
      <c r="DV115" s="187">
        <f>BB51/4</f>
        <v>6.0600000000000005</v>
      </c>
      <c r="DW115" s="170">
        <f>BB37</f>
        <v>37.82</v>
      </c>
      <c r="DX115" s="93" t="e">
        <f>DT115+DU115+DV115+DW115</f>
        <v>#REF!</v>
      </c>
      <c r="DY115" s="94" t="e">
        <f t="shared" si="20"/>
        <v>#REF!</v>
      </c>
      <c r="DZ115" s="93" t="e">
        <f t="shared" si="21"/>
        <v>#REF!</v>
      </c>
      <c r="EA115" s="123" t="e">
        <f t="shared" si="36"/>
        <v>#REF!</v>
      </c>
      <c r="EB115" s="184" t="e">
        <f t="shared" si="37"/>
        <v>#REF!</v>
      </c>
      <c r="EC115" s="96" t="e">
        <f t="shared" si="16"/>
        <v>#REF!</v>
      </c>
      <c r="ED115" s="54">
        <f t="shared" si="17"/>
        <v>56</v>
      </c>
      <c r="EE115" s="54" t="s">
        <v>458</v>
      </c>
      <c r="EF115" s="54" t="s">
        <v>581</v>
      </c>
      <c r="EG115" s="188" t="s">
        <v>526</v>
      </c>
      <c r="EH115" s="54"/>
      <c r="EI115" s="93">
        <v>436.28</v>
      </c>
      <c r="EJ115" s="54"/>
      <c r="EK115" s="54"/>
      <c r="EL115" s="176">
        <v>228.28883116883117</v>
      </c>
      <c r="EM115" s="176">
        <f t="shared" si="38"/>
        <v>664.56883116883114</v>
      </c>
      <c r="EN115" s="176">
        <v>154.3274326847226</v>
      </c>
      <c r="EO115" s="123">
        <f>EM115*EI184</f>
        <v>9.0630088554720167</v>
      </c>
      <c r="EP115" s="123">
        <f>EM115*EI185</f>
        <v>0.92340090225563953</v>
      </c>
      <c r="EQ115" s="123">
        <f>EM115*EL176</f>
        <v>8.8663586633249825</v>
      </c>
      <c r="ER115" s="123">
        <f>EM115*EL177</f>
        <v>10.704610459482042</v>
      </c>
    </row>
    <row r="116" spans="3:148" s="101" customFormat="1" ht="25.15" customHeight="1" x14ac:dyDescent="0.25">
      <c r="C116" s="40"/>
      <c r="F116" s="40"/>
      <c r="I116" s="40"/>
      <c r="K116" s="223"/>
      <c r="M116" s="40"/>
      <c r="AD116" s="40"/>
      <c r="AG116" s="40"/>
      <c r="AJ116" s="40"/>
      <c r="AM116" s="40"/>
      <c r="AP116" s="40"/>
      <c r="AS116" s="40"/>
      <c r="AV116" s="40"/>
      <c r="AY116" s="40"/>
      <c r="BB116" s="40"/>
      <c r="BE116" s="40"/>
      <c r="BH116" s="40"/>
      <c r="BK116" s="40"/>
      <c r="BN116" s="40"/>
      <c r="BQ116" s="40"/>
      <c r="BT116" s="40"/>
      <c r="BW116" s="40"/>
      <c r="BZ116" s="40"/>
      <c r="CC116" s="40"/>
      <c r="CF116" s="40"/>
      <c r="CI116" s="40"/>
      <c r="CL116" s="40"/>
      <c r="CO116" s="40"/>
      <c r="CR116" s="40"/>
      <c r="CU116" s="40"/>
      <c r="CX116" s="40"/>
      <c r="DA116" s="40"/>
      <c r="DD116" s="40"/>
      <c r="DG116" s="40"/>
      <c r="DH116" s="40"/>
      <c r="DI116" s="40"/>
      <c r="DJ116" s="40"/>
      <c r="DL116" s="54"/>
      <c r="DM116" s="39" t="s">
        <v>12</v>
      </c>
      <c r="DN116" s="54"/>
      <c r="DO116" s="54"/>
      <c r="DP116" s="54"/>
      <c r="DQ116" s="54"/>
      <c r="DR116" s="54"/>
      <c r="DS116" s="54"/>
      <c r="DT116" s="154"/>
      <c r="DU116" s="186"/>
      <c r="DV116" s="187"/>
      <c r="DW116" s="170"/>
      <c r="DX116" s="93"/>
      <c r="DY116" s="94"/>
      <c r="DZ116" s="93"/>
      <c r="EA116" s="208" t="e">
        <f>SUM(EA113:EA115)</f>
        <v>#REF!</v>
      </c>
      <c r="EB116" s="231"/>
      <c r="EC116" s="96">
        <f t="shared" si="16"/>
        <v>0</v>
      </c>
      <c r="ED116" s="54">
        <f t="shared" si="17"/>
        <v>57</v>
      </c>
      <c r="EE116" s="54" t="s">
        <v>458</v>
      </c>
      <c r="EF116" s="54" t="s">
        <v>581</v>
      </c>
      <c r="EG116" s="188" t="s">
        <v>527</v>
      </c>
      <c r="EH116" s="54"/>
      <c r="EI116" s="93">
        <v>434.71</v>
      </c>
      <c r="EJ116" s="54"/>
      <c r="EK116" s="54"/>
      <c r="EL116" s="176">
        <v>224.15753246753258</v>
      </c>
      <c r="EM116" s="176">
        <f t="shared" si="38"/>
        <v>658.86753246753256</v>
      </c>
      <c r="EN116" s="176">
        <v>153.01134525374704</v>
      </c>
      <c r="EO116" s="123">
        <f>EM116*EI184</f>
        <v>8.9852578111946588</v>
      </c>
      <c r="EP116" s="123">
        <f>EM116*EI185</f>
        <v>0.91547909774436143</v>
      </c>
      <c r="EQ116" s="123">
        <f>EM116*EL176</f>
        <v>8.7902946700083593</v>
      </c>
      <c r="ER116" s="123">
        <f>EM116*EL177</f>
        <v>10.612776207184634</v>
      </c>
    </row>
    <row r="117" spans="3:148" s="101" customFormat="1" ht="25.15" customHeight="1" x14ac:dyDescent="0.25">
      <c r="C117" s="40"/>
      <c r="F117" s="40"/>
      <c r="I117" s="40"/>
      <c r="K117" s="223"/>
      <c r="L117" s="101" t="s">
        <v>13</v>
      </c>
      <c r="M117" s="40">
        <v>18185.900000000001</v>
      </c>
      <c r="AD117" s="40"/>
      <c r="AG117" s="40"/>
      <c r="AJ117" s="40"/>
      <c r="AM117" s="40"/>
      <c r="AP117" s="40"/>
      <c r="AS117" s="40"/>
      <c r="AV117" s="40"/>
      <c r="AY117" s="40"/>
      <c r="BB117" s="40"/>
      <c r="BE117" s="40"/>
      <c r="BH117" s="40"/>
      <c r="BK117" s="40"/>
      <c r="BN117" s="40"/>
      <c r="BQ117" s="40"/>
      <c r="BT117" s="40"/>
      <c r="BW117" s="40"/>
      <c r="BZ117" s="40"/>
      <c r="CC117" s="40"/>
      <c r="CF117" s="40"/>
      <c r="CI117" s="40"/>
      <c r="CL117" s="40"/>
      <c r="CO117" s="40"/>
      <c r="CR117" s="40"/>
      <c r="CU117" s="40"/>
      <c r="CX117" s="40"/>
      <c r="DA117" s="40"/>
      <c r="DD117" s="40"/>
      <c r="DG117" s="40"/>
      <c r="DH117" s="40"/>
      <c r="DI117" s="40"/>
      <c r="DJ117" s="40"/>
      <c r="DL117" s="54"/>
      <c r="DM117" s="39" t="s">
        <v>222</v>
      </c>
      <c r="DN117" s="54"/>
      <c r="DO117" s="54"/>
      <c r="DP117" s="54"/>
      <c r="DQ117" s="54"/>
      <c r="DR117" s="54"/>
      <c r="DS117" s="54"/>
      <c r="DT117" s="154"/>
      <c r="DU117" s="186"/>
      <c r="DV117" s="187"/>
      <c r="DW117" s="170"/>
      <c r="DX117" s="93"/>
      <c r="DY117" s="94"/>
      <c r="DZ117" s="93"/>
      <c r="EA117" s="86"/>
      <c r="EB117" s="231"/>
      <c r="EC117" s="96">
        <f t="shared" si="16"/>
        <v>0</v>
      </c>
      <c r="ED117" s="54">
        <f t="shared" si="17"/>
        <v>58</v>
      </c>
      <c r="EE117" s="54" t="s">
        <v>458</v>
      </c>
      <c r="EF117" s="54" t="s">
        <v>581</v>
      </c>
      <c r="EG117" s="188" t="s">
        <v>528</v>
      </c>
      <c r="EH117" s="54"/>
      <c r="EI117" s="93">
        <v>342.15</v>
      </c>
      <c r="EJ117" s="54"/>
      <c r="EK117" s="54"/>
      <c r="EL117" s="176">
        <v>182.74350649350652</v>
      </c>
      <c r="EM117" s="176">
        <f t="shared" si="38"/>
        <v>524.89350649350649</v>
      </c>
      <c r="EN117" s="176">
        <v>121.8999013936366</v>
      </c>
      <c r="EO117" s="123">
        <f>EM117*EI184</f>
        <v>7.1581968253968293</v>
      </c>
      <c r="EP117" s="123">
        <f>EM117*EI185</f>
        <v>0.72932571428571469</v>
      </c>
      <c r="EQ117" s="123">
        <f>EM117*EL176</f>
        <v>7.0028774603174639</v>
      </c>
      <c r="ER117" s="123">
        <f>EM117*EL177</f>
        <v>8.4547758730158762</v>
      </c>
    </row>
    <row r="118" spans="3:148" s="101" customFormat="1" ht="25.15" customHeight="1" x14ac:dyDescent="0.25">
      <c r="C118" s="40"/>
      <c r="F118" s="40"/>
      <c r="I118" s="40"/>
      <c r="K118" s="223"/>
      <c r="L118" s="239" t="s">
        <v>4</v>
      </c>
      <c r="M118" s="240">
        <v>-66.64</v>
      </c>
      <c r="AD118" s="40"/>
      <c r="AG118" s="40"/>
      <c r="AJ118" s="40"/>
      <c r="AM118" s="40"/>
      <c r="AP118" s="40"/>
      <c r="AS118" s="40"/>
      <c r="AV118" s="40"/>
      <c r="AY118" s="40"/>
      <c r="BB118" s="40"/>
      <c r="BE118" s="40"/>
      <c r="BH118" s="40"/>
      <c r="BK118" s="40"/>
      <c r="BN118" s="40"/>
      <c r="BQ118" s="40"/>
      <c r="BT118" s="40"/>
      <c r="BW118" s="40"/>
      <c r="BZ118" s="40"/>
      <c r="CC118" s="40"/>
      <c r="CF118" s="40"/>
      <c r="CI118" s="40"/>
      <c r="CL118" s="40"/>
      <c r="CO118" s="40"/>
      <c r="CR118" s="40"/>
      <c r="CU118" s="40"/>
      <c r="CX118" s="40"/>
      <c r="DA118" s="40"/>
      <c r="DD118" s="40"/>
      <c r="DG118" s="40"/>
      <c r="DH118" s="40"/>
      <c r="DI118" s="40"/>
      <c r="DJ118" s="40"/>
      <c r="DL118" s="54">
        <v>33</v>
      </c>
      <c r="DM118" s="86" t="s">
        <v>244</v>
      </c>
      <c r="DN118" s="93">
        <v>3599.7</v>
      </c>
      <c r="DO118" s="54">
        <v>208.39</v>
      </c>
      <c r="DP118" s="54">
        <v>18.39</v>
      </c>
      <c r="DQ118" s="54"/>
      <c r="DR118" s="54">
        <v>134.99</v>
      </c>
      <c r="DS118" s="54">
        <f>DN118+DO118+DP118+DQ118+DR118</f>
        <v>3961.4699999999993</v>
      </c>
      <c r="DT118" s="154" t="e">
        <f>#REF!</f>
        <v>#REF!</v>
      </c>
      <c r="DU118" s="20">
        <f>BE56/2</f>
        <v>60.88</v>
      </c>
      <c r="DV118" s="187">
        <f>BE51/4</f>
        <v>6.0600000000000005</v>
      </c>
      <c r="DW118" s="170">
        <f>BE31</f>
        <v>37.82</v>
      </c>
      <c r="DX118" s="93" t="e">
        <f>DT118+DU118+DV118+DW118</f>
        <v>#REF!</v>
      </c>
      <c r="DY118" s="94" t="e">
        <f t="shared" si="20"/>
        <v>#REF!</v>
      </c>
      <c r="DZ118" s="93" t="e">
        <f t="shared" si="21"/>
        <v>#REF!</v>
      </c>
      <c r="EA118" s="123" t="e">
        <f t="shared" ref="EA118" si="39">ROUND(DZ118*10.764/1,0)*1</f>
        <v>#REF!</v>
      </c>
      <c r="EB118" s="184" t="e">
        <f t="shared" ref="EB118" si="40">(EA118*$ED$54)/$EC$54</f>
        <v>#REF!</v>
      </c>
      <c r="EC118" s="96" t="e">
        <f t="shared" si="16"/>
        <v>#REF!</v>
      </c>
      <c r="ED118" s="54">
        <f t="shared" si="17"/>
        <v>59</v>
      </c>
      <c r="EE118" s="54" t="s">
        <v>458</v>
      </c>
      <c r="EF118" s="54" t="s">
        <v>581</v>
      </c>
      <c r="EG118" s="188" t="s">
        <v>529</v>
      </c>
      <c r="EH118" s="54"/>
      <c r="EI118" s="93">
        <v>411.44</v>
      </c>
      <c r="EJ118" s="54"/>
      <c r="EK118" s="54"/>
      <c r="EL118" s="176">
        <v>209.01194805194808</v>
      </c>
      <c r="EM118" s="176">
        <f t="shared" si="38"/>
        <v>620.45194805194808</v>
      </c>
      <c r="EN118" s="176">
        <v>144.10078608992899</v>
      </c>
      <c r="EO118" s="123">
        <f>EM118*EI184</f>
        <v>8.4613680868838816</v>
      </c>
      <c r="EP118" s="123">
        <f>EM118*EI185</f>
        <v>0.86210165413533879</v>
      </c>
      <c r="EQ118" s="123">
        <f>EM118*EL176</f>
        <v>8.2777723642439476</v>
      </c>
      <c r="ER118" s="123">
        <f>EM118*EL177</f>
        <v>9.9939932497911492</v>
      </c>
    </row>
    <row r="119" spans="3:148" s="101" customFormat="1" ht="25.15" customHeight="1" x14ac:dyDescent="0.25">
      <c r="C119" s="40"/>
      <c r="F119" s="40"/>
      <c r="I119" s="40"/>
      <c r="K119" s="223"/>
      <c r="L119" s="239"/>
      <c r="M119" s="240"/>
      <c r="AD119" s="40"/>
      <c r="AG119" s="40"/>
      <c r="AJ119" s="40"/>
      <c r="AM119" s="40"/>
      <c r="AP119" s="40"/>
      <c r="AS119" s="40"/>
      <c r="AV119" s="40"/>
      <c r="AY119" s="40"/>
      <c r="BB119" s="40"/>
      <c r="BE119" s="40"/>
      <c r="BH119" s="40"/>
      <c r="BK119" s="40"/>
      <c r="BN119" s="40"/>
      <c r="BQ119" s="40"/>
      <c r="BT119" s="40"/>
      <c r="BW119" s="40"/>
      <c r="BZ119" s="40"/>
      <c r="CC119" s="40"/>
      <c r="CF119" s="40"/>
      <c r="CI119" s="40"/>
      <c r="CL119" s="40"/>
      <c r="CO119" s="40"/>
      <c r="CR119" s="40"/>
      <c r="CU119" s="40"/>
      <c r="CX119" s="40"/>
      <c r="DA119" s="40"/>
      <c r="DD119" s="40"/>
      <c r="DG119" s="40"/>
      <c r="DH119" s="40"/>
      <c r="DI119" s="40"/>
      <c r="DJ119" s="40"/>
      <c r="DL119" s="54"/>
      <c r="DM119" s="86"/>
      <c r="DN119" s="93"/>
      <c r="DO119" s="54"/>
      <c r="DP119" s="54"/>
      <c r="DQ119" s="54"/>
      <c r="DR119" s="54"/>
      <c r="DS119" s="54"/>
      <c r="DT119" s="154"/>
      <c r="DU119" s="20"/>
      <c r="DV119" s="187"/>
      <c r="DW119" s="170"/>
      <c r="DX119" s="93"/>
      <c r="DY119" s="94"/>
      <c r="DZ119" s="93"/>
      <c r="EA119" s="123"/>
      <c r="EB119" s="184"/>
      <c r="EC119" s="96"/>
      <c r="ED119" s="54">
        <v>60</v>
      </c>
      <c r="EE119" s="54" t="s">
        <v>530</v>
      </c>
      <c r="EF119" s="204" t="s">
        <v>19</v>
      </c>
      <c r="EG119" s="54" t="s">
        <v>584</v>
      </c>
      <c r="EH119" s="54"/>
      <c r="EI119" s="93"/>
      <c r="EJ119" s="54"/>
      <c r="EK119" s="54"/>
      <c r="EL119" s="54" t="s">
        <v>584</v>
      </c>
      <c r="EM119" s="54" t="s">
        <v>584</v>
      </c>
      <c r="EN119" s="54" t="s">
        <v>584</v>
      </c>
      <c r="EO119" s="54" t="s">
        <v>584</v>
      </c>
      <c r="EP119" s="54" t="s">
        <v>584</v>
      </c>
      <c r="EQ119" s="54" t="s">
        <v>584</v>
      </c>
      <c r="ER119" s="54" t="s">
        <v>584</v>
      </c>
    </row>
    <row r="120" spans="3:148" ht="24.95" customHeight="1" x14ac:dyDescent="0.25">
      <c r="L120" s="48"/>
      <c r="M120" s="60"/>
      <c r="DF120" s="77"/>
      <c r="DG120" s="58"/>
      <c r="DL120" s="54"/>
      <c r="DM120" s="86"/>
      <c r="DN120" s="54"/>
      <c r="DO120" s="54"/>
      <c r="DP120" s="54"/>
      <c r="DQ120" s="54"/>
      <c r="DR120" s="54"/>
      <c r="DS120" s="54"/>
      <c r="DT120" s="154"/>
      <c r="DU120" s="20"/>
      <c r="DV120" s="187"/>
      <c r="DW120" s="170"/>
      <c r="DX120" s="93"/>
      <c r="DY120" s="94"/>
      <c r="DZ120" s="93"/>
      <c r="EA120" s="123"/>
      <c r="EB120" s="184"/>
      <c r="EC120" s="96"/>
      <c r="ED120" s="203">
        <f>ED119+1</f>
        <v>61</v>
      </c>
      <c r="EE120" s="54" t="s">
        <v>530</v>
      </c>
      <c r="EF120" s="204" t="s">
        <v>332</v>
      </c>
      <c r="EG120" s="188" t="s">
        <v>472</v>
      </c>
      <c r="EH120" s="86"/>
      <c r="EI120" s="54">
        <v>758.42</v>
      </c>
      <c r="EJ120" s="54"/>
      <c r="EK120" s="54"/>
      <c r="EL120" s="176">
        <v>453.21636363636355</v>
      </c>
      <c r="EM120" s="176">
        <f>EI120+EL120</f>
        <v>1211.6363636363635</v>
      </c>
      <c r="EN120" s="176">
        <v>281.38380778332896</v>
      </c>
      <c r="EO120" s="123">
        <f>EM120*EI176</f>
        <v>16.523602339181295</v>
      </c>
      <c r="EP120" s="123">
        <f>EM120*EI177</f>
        <v>1.6835368421052639</v>
      </c>
      <c r="EQ120" s="123">
        <f>EM120*EL176</f>
        <v>16.165071345029247</v>
      </c>
      <c r="ER120" s="123">
        <f>EM120*EL177</f>
        <v>19.516556725146206</v>
      </c>
    </row>
    <row r="121" spans="3:148" ht="24.95" customHeight="1" x14ac:dyDescent="0.25">
      <c r="L121" s="48"/>
      <c r="M121" s="60"/>
      <c r="DF121" s="77"/>
      <c r="DG121" s="58"/>
      <c r="DL121" s="54"/>
      <c r="DM121" s="86"/>
      <c r="DN121" s="54"/>
      <c r="DO121" s="54"/>
      <c r="DP121" s="54"/>
      <c r="DQ121" s="54"/>
      <c r="DR121" s="54"/>
      <c r="DS121" s="54"/>
      <c r="DT121" s="154"/>
      <c r="DU121" s="20"/>
      <c r="DV121" s="187"/>
      <c r="DW121" s="170"/>
      <c r="DX121" s="93"/>
      <c r="DY121" s="94"/>
      <c r="DZ121" s="93"/>
      <c r="EA121" s="123"/>
      <c r="EB121" s="184"/>
      <c r="EC121" s="96"/>
      <c r="ED121" s="54">
        <f>ED120+1</f>
        <v>62</v>
      </c>
      <c r="EE121" s="54" t="s">
        <v>530</v>
      </c>
      <c r="EF121" s="204" t="s">
        <v>332</v>
      </c>
      <c r="EG121" s="188" t="s">
        <v>473</v>
      </c>
      <c r="EH121" s="86"/>
      <c r="EI121" s="54">
        <v>597.35</v>
      </c>
      <c r="EJ121" s="54"/>
      <c r="EK121" s="54"/>
      <c r="EL121" s="176">
        <v>400.90974025974026</v>
      </c>
      <c r="EM121" s="176">
        <f t="shared" ref="EM121:EM165" si="41">EI121+EL121</f>
        <v>998.25974025974028</v>
      </c>
      <c r="EN121" s="176">
        <v>231.82556468577437</v>
      </c>
      <c r="EO121" s="123">
        <f>EM121*EI176</f>
        <v>13.61369423558898</v>
      </c>
      <c r="EP121" s="123">
        <f>EM121*EI177</f>
        <v>1.3870556390977451</v>
      </c>
      <c r="EQ121" s="123">
        <f>EM121*EL176</f>
        <v>13.318302756892237</v>
      </c>
      <c r="ER121" s="123">
        <f>EM121*EL177</f>
        <v>16.079570927318301</v>
      </c>
    </row>
    <row r="122" spans="3:148" ht="24.95" customHeight="1" x14ac:dyDescent="0.25">
      <c r="L122" s="48"/>
      <c r="M122" s="60"/>
      <c r="DF122" s="77"/>
      <c r="DG122" s="58"/>
      <c r="DL122" s="54"/>
      <c r="DM122" s="86"/>
      <c r="DN122" s="54"/>
      <c r="DO122" s="54"/>
      <c r="DP122" s="54"/>
      <c r="DQ122" s="54"/>
      <c r="DR122" s="54"/>
      <c r="DS122" s="54"/>
      <c r="DT122" s="154"/>
      <c r="DU122" s="20"/>
      <c r="DV122" s="187"/>
      <c r="DW122" s="170"/>
      <c r="DX122" s="93"/>
      <c r="DY122" s="94"/>
      <c r="DZ122" s="93"/>
      <c r="EA122" s="123"/>
      <c r="EB122" s="184"/>
      <c r="EC122" s="96"/>
      <c r="ED122" s="54">
        <f t="shared" ref="ED122:ED165" si="42">ED121+1</f>
        <v>63</v>
      </c>
      <c r="EE122" s="54" t="s">
        <v>530</v>
      </c>
      <c r="EF122" s="54" t="s">
        <v>582</v>
      </c>
      <c r="EG122" s="188" t="s">
        <v>474</v>
      </c>
      <c r="EH122" s="86"/>
      <c r="EI122" s="54">
        <v>520.16</v>
      </c>
      <c r="EJ122" s="54"/>
      <c r="EK122" s="54"/>
      <c r="EL122" s="176">
        <v>289.93740259740275</v>
      </c>
      <c r="EM122" s="176">
        <f t="shared" si="41"/>
        <v>810.09740259740272</v>
      </c>
      <c r="EN122" s="176">
        <v>188.13577701814356</v>
      </c>
      <c r="EO122" s="123">
        <f>EM122*EI176</f>
        <v>11.047644110275696</v>
      </c>
      <c r="EP122" s="123">
        <f>EM122*EI177</f>
        <v>1.1256090225563917</v>
      </c>
      <c r="EQ122" s="123">
        <f>EM122*EL176</f>
        <v>10.807931077694242</v>
      </c>
      <c r="ER122" s="123">
        <f>EM122*EL177</f>
        <v>13.048726817042613</v>
      </c>
    </row>
    <row r="123" spans="3:148" ht="24.95" customHeight="1" x14ac:dyDescent="0.25">
      <c r="L123" s="48"/>
      <c r="M123" s="60"/>
      <c r="DF123" s="77"/>
      <c r="DG123" s="58"/>
      <c r="DL123" s="54"/>
      <c r="DM123" s="86"/>
      <c r="DN123" s="54"/>
      <c r="DO123" s="54"/>
      <c r="DP123" s="54"/>
      <c r="DQ123" s="54"/>
      <c r="DR123" s="54"/>
      <c r="DS123" s="54"/>
      <c r="DT123" s="154"/>
      <c r="DU123" s="20"/>
      <c r="DV123" s="187"/>
      <c r="DW123" s="170"/>
      <c r="DX123" s="93"/>
      <c r="DY123" s="94"/>
      <c r="DZ123" s="93"/>
      <c r="EA123" s="123"/>
      <c r="EB123" s="184"/>
      <c r="EC123" s="96"/>
      <c r="ED123" s="54">
        <f t="shared" si="42"/>
        <v>64</v>
      </c>
      <c r="EE123" s="54" t="s">
        <v>530</v>
      </c>
      <c r="EF123" s="54" t="s">
        <v>582</v>
      </c>
      <c r="EG123" s="188" t="s">
        <v>475</v>
      </c>
      <c r="EH123" s="86"/>
      <c r="EI123" s="54">
        <v>572.46</v>
      </c>
      <c r="EJ123" s="54"/>
      <c r="EK123" s="54"/>
      <c r="EL123" s="176">
        <v>310.84519480519486</v>
      </c>
      <c r="EM123" s="176">
        <f t="shared" si="41"/>
        <v>883.3051948051949</v>
      </c>
      <c r="EN123" s="176">
        <v>205.13703760189327</v>
      </c>
      <c r="EO123" s="123">
        <f>EM123*EI176</f>
        <v>12.046010025062664</v>
      </c>
      <c r="EP123" s="123">
        <f>EM123*EI177</f>
        <v>1.2273293233082714</v>
      </c>
      <c r="EQ123" s="123">
        <f>EM123*EL176</f>
        <v>11.784634335839606</v>
      </c>
      <c r="ER123" s="123">
        <f>EM123*EL177</f>
        <v>14.227928822055144</v>
      </c>
    </row>
    <row r="124" spans="3:148" ht="24.95" customHeight="1" x14ac:dyDescent="0.25">
      <c r="L124" s="48"/>
      <c r="M124" s="60"/>
      <c r="DF124" s="77"/>
      <c r="DG124" s="58"/>
      <c r="DL124" s="54"/>
      <c r="DM124" s="86"/>
      <c r="DN124" s="54"/>
      <c r="DO124" s="54"/>
      <c r="DP124" s="54"/>
      <c r="DQ124" s="54"/>
      <c r="DR124" s="54"/>
      <c r="DS124" s="54"/>
      <c r="DT124" s="154"/>
      <c r="DU124" s="20"/>
      <c r="DV124" s="187"/>
      <c r="DW124" s="170"/>
      <c r="DX124" s="93"/>
      <c r="DY124" s="94"/>
      <c r="DZ124" s="93"/>
      <c r="EA124" s="123"/>
      <c r="EB124" s="184"/>
      <c r="EC124" s="96"/>
      <c r="ED124" s="54">
        <f t="shared" si="42"/>
        <v>65</v>
      </c>
      <c r="EE124" s="54" t="s">
        <v>530</v>
      </c>
      <c r="EF124" s="54" t="s">
        <v>582</v>
      </c>
      <c r="EG124" s="188" t="s">
        <v>476</v>
      </c>
      <c r="EH124" s="86"/>
      <c r="EI124" s="54">
        <v>541.75</v>
      </c>
      <c r="EJ124" s="54"/>
      <c r="EK124" s="54"/>
      <c r="EL124" s="176">
        <v>291.38636363636374</v>
      </c>
      <c r="EM124" s="176">
        <f t="shared" si="41"/>
        <v>833.13636363636374</v>
      </c>
      <c r="EN124" s="176">
        <v>193.48642755719169</v>
      </c>
      <c r="EO124" s="123">
        <f>EM124*EI176</f>
        <v>11.36183625730995</v>
      </c>
      <c r="EP124" s="123">
        <f>EM124*EI177</f>
        <v>1.1576210526315798</v>
      </c>
      <c r="EQ124" s="123">
        <f>EM124*EL176</f>
        <v>11.115305847953223</v>
      </c>
      <c r="ER124" s="123">
        <f>EM124*EL177</f>
        <v>13.419829239766088</v>
      </c>
    </row>
    <row r="125" spans="3:148" ht="24.95" customHeight="1" x14ac:dyDescent="0.25">
      <c r="L125" s="48"/>
      <c r="M125" s="60"/>
      <c r="DF125" s="77"/>
      <c r="DG125" s="58"/>
      <c r="DL125" s="54"/>
      <c r="DM125" s="86"/>
      <c r="DN125" s="54"/>
      <c r="DO125" s="54"/>
      <c r="DP125" s="54"/>
      <c r="DQ125" s="54"/>
      <c r="DR125" s="54"/>
      <c r="DS125" s="54"/>
      <c r="DT125" s="154"/>
      <c r="DU125" s="20"/>
      <c r="DV125" s="187"/>
      <c r="DW125" s="170"/>
      <c r="DX125" s="93"/>
      <c r="DY125" s="94"/>
      <c r="DZ125" s="93"/>
      <c r="EA125" s="123"/>
      <c r="EB125" s="184"/>
      <c r="EC125" s="96"/>
      <c r="ED125" s="54">
        <f t="shared" si="42"/>
        <v>66</v>
      </c>
      <c r="EE125" s="54" t="s">
        <v>530</v>
      </c>
      <c r="EF125" s="54" t="s">
        <v>582</v>
      </c>
      <c r="EG125" s="188" t="s">
        <v>477</v>
      </c>
      <c r="EH125" s="86"/>
      <c r="EI125" s="54">
        <v>582.39</v>
      </c>
      <c r="EJ125" s="54"/>
      <c r="EK125" s="54"/>
      <c r="EL125" s="176">
        <v>303.09701298701304</v>
      </c>
      <c r="EM125" s="176">
        <f t="shared" si="41"/>
        <v>885.48701298701303</v>
      </c>
      <c r="EN125" s="176">
        <v>205.63326728898238</v>
      </c>
      <c r="EO125" s="123">
        <f>EM125*EI176</f>
        <v>12.075764411027576</v>
      </c>
      <c r="EP125" s="123">
        <f>EM125*EI177</f>
        <v>1.2303609022556399</v>
      </c>
      <c r="EQ125" s="123">
        <f>EM125*EL176</f>
        <v>11.813743107769429</v>
      </c>
      <c r="ER125" s="123">
        <f>EM125*EL177</f>
        <v>14.263072681704267</v>
      </c>
    </row>
    <row r="126" spans="3:148" ht="24.95" customHeight="1" x14ac:dyDescent="0.25">
      <c r="L126" s="48"/>
      <c r="M126" s="60"/>
      <c r="DF126" s="77"/>
      <c r="DG126" s="58"/>
      <c r="DL126" s="54"/>
      <c r="DM126" s="86"/>
      <c r="DN126" s="54"/>
      <c r="DO126" s="54"/>
      <c r="DP126" s="54"/>
      <c r="DQ126" s="54"/>
      <c r="DR126" s="54"/>
      <c r="DS126" s="54"/>
      <c r="DT126" s="154"/>
      <c r="DU126" s="20"/>
      <c r="DV126" s="187"/>
      <c r="DW126" s="170"/>
      <c r="DX126" s="93"/>
      <c r="DY126" s="94"/>
      <c r="DZ126" s="93"/>
      <c r="EA126" s="123"/>
      <c r="EB126" s="184"/>
      <c r="EC126" s="96"/>
      <c r="ED126" s="54">
        <f t="shared" si="42"/>
        <v>67</v>
      </c>
      <c r="EE126" s="54" t="s">
        <v>530</v>
      </c>
      <c r="EF126" s="54" t="s">
        <v>333</v>
      </c>
      <c r="EG126" s="188" t="s">
        <v>531</v>
      </c>
      <c r="EH126" s="86"/>
      <c r="EI126" s="54">
        <v>520.16</v>
      </c>
      <c r="EJ126" s="54"/>
      <c r="EK126" s="54"/>
      <c r="EL126" s="176">
        <v>289.93740259740275</v>
      </c>
      <c r="EM126" s="176">
        <f t="shared" si="41"/>
        <v>810.09740259740272</v>
      </c>
      <c r="EN126" s="176">
        <v>188.13577701814356</v>
      </c>
      <c r="EO126" s="123">
        <f>EM126*EI176</f>
        <v>11.047644110275696</v>
      </c>
      <c r="EP126" s="123">
        <f>EM126*EI177</f>
        <v>1.1256090225563917</v>
      </c>
      <c r="EQ126" s="123">
        <f>EM126*EL176</f>
        <v>10.807931077694242</v>
      </c>
      <c r="ER126" s="123">
        <f>EM126*EL177</f>
        <v>13.048726817042613</v>
      </c>
    </row>
    <row r="127" spans="3:148" ht="24.95" customHeight="1" x14ac:dyDescent="0.25">
      <c r="L127" s="48"/>
      <c r="M127" s="60"/>
      <c r="DF127" s="77"/>
      <c r="DG127" s="58"/>
      <c r="DL127" s="54"/>
      <c r="DM127" s="86"/>
      <c r="DN127" s="54"/>
      <c r="DO127" s="54"/>
      <c r="DP127" s="54"/>
      <c r="DQ127" s="54"/>
      <c r="DR127" s="54"/>
      <c r="DS127" s="54"/>
      <c r="DT127" s="154"/>
      <c r="DU127" s="20"/>
      <c r="DV127" s="187"/>
      <c r="DW127" s="170"/>
      <c r="DX127" s="93"/>
      <c r="DY127" s="94"/>
      <c r="DZ127" s="93"/>
      <c r="EA127" s="123"/>
      <c r="EB127" s="184"/>
      <c r="EC127" s="96"/>
      <c r="ED127" s="54">
        <f t="shared" si="42"/>
        <v>68</v>
      </c>
      <c r="EE127" s="54" t="s">
        <v>530</v>
      </c>
      <c r="EF127" s="54" t="s">
        <v>333</v>
      </c>
      <c r="EG127" s="188" t="s">
        <v>532</v>
      </c>
      <c r="EH127" s="86"/>
      <c r="EI127" s="54">
        <v>572.46</v>
      </c>
      <c r="EJ127" s="54"/>
      <c r="EK127" s="54"/>
      <c r="EL127" s="176">
        <v>310.84519480519486</v>
      </c>
      <c r="EM127" s="176">
        <f t="shared" si="41"/>
        <v>883.3051948051949</v>
      </c>
      <c r="EN127" s="176">
        <v>205.13703760189327</v>
      </c>
      <c r="EO127" s="123">
        <f>EM127*EI176</f>
        <v>12.046010025062664</v>
      </c>
      <c r="EP127" s="123">
        <f>EM127*EI177</f>
        <v>1.2273293233082714</v>
      </c>
      <c r="EQ127" s="123">
        <f>EM127*EL176</f>
        <v>11.784634335839606</v>
      </c>
      <c r="ER127" s="123">
        <f>EM127*EL177</f>
        <v>14.227928822055144</v>
      </c>
    </row>
    <row r="128" spans="3:148" ht="24.95" customHeight="1" x14ac:dyDescent="0.25">
      <c r="L128" s="48"/>
      <c r="M128" s="60"/>
      <c r="DF128" s="77"/>
      <c r="DG128" s="58"/>
      <c r="DL128" s="54"/>
      <c r="DM128" s="86"/>
      <c r="DN128" s="54"/>
      <c r="DO128" s="54"/>
      <c r="DP128" s="54"/>
      <c r="DQ128" s="54"/>
      <c r="DR128" s="54"/>
      <c r="DS128" s="54"/>
      <c r="DT128" s="154"/>
      <c r="DU128" s="20"/>
      <c r="DV128" s="187"/>
      <c r="DW128" s="170"/>
      <c r="DX128" s="93"/>
      <c r="DY128" s="94"/>
      <c r="DZ128" s="93"/>
      <c r="EA128" s="123"/>
      <c r="EB128" s="184"/>
      <c r="EC128" s="96"/>
      <c r="ED128" s="54">
        <f t="shared" si="42"/>
        <v>69</v>
      </c>
      <c r="EE128" s="54" t="s">
        <v>530</v>
      </c>
      <c r="EF128" s="54" t="s">
        <v>333</v>
      </c>
      <c r="EG128" s="188" t="s">
        <v>533</v>
      </c>
      <c r="EH128" s="86"/>
      <c r="EI128" s="54">
        <v>541.75</v>
      </c>
      <c r="EJ128" s="54"/>
      <c r="EK128" s="54"/>
      <c r="EL128" s="176">
        <v>291.38636363636374</v>
      </c>
      <c r="EM128" s="176">
        <f t="shared" si="41"/>
        <v>833.13636363636374</v>
      </c>
      <c r="EN128" s="176">
        <v>193.48642755719169</v>
      </c>
      <c r="EO128" s="123">
        <f>EM128*EI176</f>
        <v>11.36183625730995</v>
      </c>
      <c r="EP128" s="123">
        <f>EM128*EI177</f>
        <v>1.1576210526315798</v>
      </c>
      <c r="EQ128" s="123">
        <f>EM128*EL176</f>
        <v>11.115305847953223</v>
      </c>
      <c r="ER128" s="123">
        <f>EM128*EL177</f>
        <v>13.419829239766088</v>
      </c>
    </row>
    <row r="129" spans="12:148" ht="24.95" customHeight="1" x14ac:dyDescent="0.25">
      <c r="L129" s="48"/>
      <c r="M129" s="60"/>
      <c r="DF129" s="77"/>
      <c r="DG129" s="58"/>
      <c r="DL129" s="54"/>
      <c r="DM129" s="86"/>
      <c r="DN129" s="54"/>
      <c r="DO129" s="54"/>
      <c r="DP129" s="54"/>
      <c r="DQ129" s="54"/>
      <c r="DR129" s="54"/>
      <c r="DS129" s="54"/>
      <c r="DT129" s="154"/>
      <c r="DU129" s="20"/>
      <c r="DV129" s="187"/>
      <c r="DW129" s="170"/>
      <c r="DX129" s="93"/>
      <c r="DY129" s="94"/>
      <c r="DZ129" s="93"/>
      <c r="EA129" s="123"/>
      <c r="EB129" s="184"/>
      <c r="EC129" s="96"/>
      <c r="ED129" s="54">
        <f t="shared" si="42"/>
        <v>70</v>
      </c>
      <c r="EE129" s="54" t="s">
        <v>530</v>
      </c>
      <c r="EF129" s="54" t="s">
        <v>333</v>
      </c>
      <c r="EG129" s="188" t="s">
        <v>534</v>
      </c>
      <c r="EH129" s="86"/>
      <c r="EI129" s="54">
        <v>582.39</v>
      </c>
      <c r="EJ129" s="54"/>
      <c r="EK129" s="54"/>
      <c r="EL129" s="176">
        <v>303.09701298701304</v>
      </c>
      <c r="EM129" s="176">
        <f t="shared" si="41"/>
        <v>885.48701298701303</v>
      </c>
      <c r="EN129" s="176">
        <v>205.63326728898238</v>
      </c>
      <c r="EO129" s="123">
        <f>EM129*EI176</f>
        <v>12.075764411027576</v>
      </c>
      <c r="EP129" s="123">
        <f>EM129*EI177</f>
        <v>1.2303609022556399</v>
      </c>
      <c r="EQ129" s="123">
        <f>EM129*EL176</f>
        <v>11.813743107769429</v>
      </c>
      <c r="ER129" s="123">
        <f>EM129*EL177</f>
        <v>14.263072681704267</v>
      </c>
    </row>
    <row r="130" spans="12:148" ht="24.95" customHeight="1" x14ac:dyDescent="0.25">
      <c r="L130" s="48"/>
      <c r="M130" s="60"/>
      <c r="DF130" s="77"/>
      <c r="DG130" s="58"/>
      <c r="DL130" s="54"/>
      <c r="DM130" s="86"/>
      <c r="DN130" s="54"/>
      <c r="DO130" s="54"/>
      <c r="DP130" s="54"/>
      <c r="DQ130" s="54"/>
      <c r="DR130" s="54"/>
      <c r="DS130" s="54"/>
      <c r="DT130" s="154"/>
      <c r="DU130" s="20"/>
      <c r="DV130" s="187"/>
      <c r="DW130" s="170"/>
      <c r="DX130" s="93"/>
      <c r="DY130" s="94"/>
      <c r="DZ130" s="93"/>
      <c r="EA130" s="123"/>
      <c r="EB130" s="184"/>
      <c r="EC130" s="96"/>
      <c r="ED130" s="54">
        <f t="shared" si="42"/>
        <v>71</v>
      </c>
      <c r="EE130" s="54" t="s">
        <v>530</v>
      </c>
      <c r="EF130" s="54" t="s">
        <v>217</v>
      </c>
      <c r="EG130" s="188" t="s">
        <v>535</v>
      </c>
      <c r="EH130" s="86"/>
      <c r="EI130" s="54">
        <v>520.16</v>
      </c>
      <c r="EJ130" s="54"/>
      <c r="EK130" s="54"/>
      <c r="EL130" s="176">
        <v>289.93740259740275</v>
      </c>
      <c r="EM130" s="176">
        <f t="shared" si="41"/>
        <v>810.09740259740272</v>
      </c>
      <c r="EN130" s="176">
        <v>188.13577701814356</v>
      </c>
      <c r="EO130" s="123">
        <f>EM130*EI176</f>
        <v>11.047644110275696</v>
      </c>
      <c r="EP130" s="123">
        <f>EM130*EI177</f>
        <v>1.1256090225563917</v>
      </c>
      <c r="EQ130" s="123">
        <f>EM130*EL176</f>
        <v>10.807931077694242</v>
      </c>
      <c r="ER130" s="123">
        <f>EM130*EL177</f>
        <v>13.048726817042613</v>
      </c>
    </row>
    <row r="131" spans="12:148" ht="24.95" customHeight="1" x14ac:dyDescent="0.25">
      <c r="L131" s="48"/>
      <c r="M131" s="60"/>
      <c r="DF131" s="77"/>
      <c r="DG131" s="58"/>
      <c r="DL131" s="54"/>
      <c r="DM131" s="86"/>
      <c r="DN131" s="54"/>
      <c r="DO131" s="54"/>
      <c r="DP131" s="54"/>
      <c r="DQ131" s="54"/>
      <c r="DR131" s="54"/>
      <c r="DS131" s="54"/>
      <c r="DT131" s="154"/>
      <c r="DU131" s="20"/>
      <c r="DV131" s="187"/>
      <c r="DW131" s="170"/>
      <c r="DX131" s="93"/>
      <c r="DY131" s="94"/>
      <c r="DZ131" s="93"/>
      <c r="EA131" s="123"/>
      <c r="EB131" s="184"/>
      <c r="EC131" s="96"/>
      <c r="ED131" s="54">
        <f t="shared" si="42"/>
        <v>72</v>
      </c>
      <c r="EE131" s="54" t="s">
        <v>530</v>
      </c>
      <c r="EF131" s="54" t="s">
        <v>217</v>
      </c>
      <c r="EG131" s="188" t="s">
        <v>536</v>
      </c>
      <c r="EH131" s="86"/>
      <c r="EI131" s="54">
        <v>572.46</v>
      </c>
      <c r="EJ131" s="54"/>
      <c r="EK131" s="54"/>
      <c r="EL131" s="176">
        <v>310.84519480519486</v>
      </c>
      <c r="EM131" s="176">
        <f t="shared" si="41"/>
        <v>883.3051948051949</v>
      </c>
      <c r="EN131" s="176">
        <v>205.13703760189327</v>
      </c>
      <c r="EO131" s="123">
        <f>EM131*EI176</f>
        <v>12.046010025062664</v>
      </c>
      <c r="EP131" s="123">
        <f>EM131*EI177</f>
        <v>1.2273293233082714</v>
      </c>
      <c r="EQ131" s="123">
        <f>EM131*EL176</f>
        <v>11.784634335839606</v>
      </c>
      <c r="ER131" s="123">
        <f>EM131*EL177</f>
        <v>14.227928822055144</v>
      </c>
    </row>
    <row r="132" spans="12:148" ht="24.95" customHeight="1" x14ac:dyDescent="0.25">
      <c r="L132" s="48"/>
      <c r="M132" s="60"/>
      <c r="DF132" s="77"/>
      <c r="DG132" s="58"/>
      <c r="DL132" s="54"/>
      <c r="DM132" s="86"/>
      <c r="DN132" s="54"/>
      <c r="DO132" s="54"/>
      <c r="DP132" s="54"/>
      <c r="DQ132" s="54"/>
      <c r="DR132" s="54"/>
      <c r="DS132" s="54"/>
      <c r="DT132" s="154"/>
      <c r="DU132" s="20"/>
      <c r="DV132" s="187"/>
      <c r="DW132" s="170"/>
      <c r="DX132" s="93"/>
      <c r="DY132" s="94"/>
      <c r="DZ132" s="93"/>
      <c r="EA132" s="123"/>
      <c r="EB132" s="184"/>
      <c r="EC132" s="96"/>
      <c r="ED132" s="54">
        <f t="shared" si="42"/>
        <v>73</v>
      </c>
      <c r="EE132" s="54" t="s">
        <v>530</v>
      </c>
      <c r="EF132" s="54" t="s">
        <v>217</v>
      </c>
      <c r="EG132" s="188" t="s">
        <v>537</v>
      </c>
      <c r="EH132" s="86"/>
      <c r="EI132" s="54">
        <v>541.75</v>
      </c>
      <c r="EJ132" s="54"/>
      <c r="EK132" s="54"/>
      <c r="EL132" s="176">
        <v>291.38636363636374</v>
      </c>
      <c r="EM132" s="176">
        <f t="shared" si="41"/>
        <v>833.13636363636374</v>
      </c>
      <c r="EN132" s="176">
        <v>193.48642755719169</v>
      </c>
      <c r="EO132" s="123">
        <f>EM132*EI176</f>
        <v>11.36183625730995</v>
      </c>
      <c r="EP132" s="123">
        <f>EM132*EI177</f>
        <v>1.1576210526315798</v>
      </c>
      <c r="EQ132" s="123">
        <f>EM132*EL176</f>
        <v>11.115305847953223</v>
      </c>
      <c r="ER132" s="123">
        <f>EM132*EL177</f>
        <v>13.419829239766088</v>
      </c>
    </row>
    <row r="133" spans="12:148" ht="24.95" customHeight="1" x14ac:dyDescent="0.25">
      <c r="L133" s="48"/>
      <c r="M133" s="60"/>
      <c r="DF133" s="77"/>
      <c r="DG133" s="58"/>
      <c r="DL133" s="54"/>
      <c r="DM133" s="86"/>
      <c r="DN133" s="54"/>
      <c r="DO133" s="54"/>
      <c r="DP133" s="54"/>
      <c r="DQ133" s="54"/>
      <c r="DR133" s="54"/>
      <c r="DS133" s="54"/>
      <c r="DT133" s="154"/>
      <c r="DU133" s="20"/>
      <c r="DV133" s="187"/>
      <c r="DW133" s="170"/>
      <c r="DX133" s="93"/>
      <c r="DY133" s="94"/>
      <c r="DZ133" s="93"/>
      <c r="EA133" s="123"/>
      <c r="EB133" s="184"/>
      <c r="EC133" s="96"/>
      <c r="ED133" s="54">
        <f t="shared" si="42"/>
        <v>74</v>
      </c>
      <c r="EE133" s="54" t="s">
        <v>530</v>
      </c>
      <c r="EF133" s="54" t="s">
        <v>217</v>
      </c>
      <c r="EG133" s="188" t="s">
        <v>538</v>
      </c>
      <c r="EH133" s="86"/>
      <c r="EI133" s="54">
        <v>582.39</v>
      </c>
      <c r="EJ133" s="54"/>
      <c r="EK133" s="54"/>
      <c r="EL133" s="176">
        <v>303.09701298701304</v>
      </c>
      <c r="EM133" s="176">
        <f t="shared" si="41"/>
        <v>885.48701298701303</v>
      </c>
      <c r="EN133" s="176">
        <v>205.63326728898238</v>
      </c>
      <c r="EO133" s="123">
        <f>EM133*EI176</f>
        <v>12.075764411027576</v>
      </c>
      <c r="EP133" s="123">
        <f>EM133*EI177</f>
        <v>1.2303609022556399</v>
      </c>
      <c r="EQ133" s="123">
        <f>EM133*EL176</f>
        <v>11.813743107769429</v>
      </c>
      <c r="ER133" s="123">
        <f>EM133*EL177</f>
        <v>14.263072681704267</v>
      </c>
    </row>
    <row r="134" spans="12:148" ht="24.95" customHeight="1" x14ac:dyDescent="0.25">
      <c r="L134" s="48"/>
      <c r="M134" s="60"/>
      <c r="DF134" s="77"/>
      <c r="DG134" s="58"/>
      <c r="DL134" s="54"/>
      <c r="DM134" s="86"/>
      <c r="DN134" s="54"/>
      <c r="DO134" s="54"/>
      <c r="DP134" s="54"/>
      <c r="DQ134" s="54"/>
      <c r="DR134" s="54"/>
      <c r="DS134" s="54"/>
      <c r="DT134" s="154"/>
      <c r="DU134" s="20"/>
      <c r="DV134" s="187"/>
      <c r="DW134" s="170"/>
      <c r="DX134" s="93"/>
      <c r="DY134" s="94"/>
      <c r="DZ134" s="93"/>
      <c r="EA134" s="123"/>
      <c r="EB134" s="184"/>
      <c r="EC134" s="96"/>
      <c r="ED134" s="54">
        <f t="shared" si="42"/>
        <v>75</v>
      </c>
      <c r="EE134" s="54" t="s">
        <v>530</v>
      </c>
      <c r="EF134" s="54" t="s">
        <v>218</v>
      </c>
      <c r="EG134" s="188" t="s">
        <v>539</v>
      </c>
      <c r="EH134" s="86"/>
      <c r="EI134" s="54">
        <v>520.16</v>
      </c>
      <c r="EJ134" s="54"/>
      <c r="EK134" s="54"/>
      <c r="EL134" s="176">
        <v>289.93740259740275</v>
      </c>
      <c r="EM134" s="176">
        <f t="shared" si="41"/>
        <v>810.09740259740272</v>
      </c>
      <c r="EN134" s="176">
        <v>188.13577701814356</v>
      </c>
      <c r="EO134" s="123">
        <f>EM134*EI176</f>
        <v>11.047644110275696</v>
      </c>
      <c r="EP134" s="123">
        <f>EM134*EI177</f>
        <v>1.1256090225563917</v>
      </c>
      <c r="EQ134" s="123">
        <f>EM134*EL176</f>
        <v>10.807931077694242</v>
      </c>
      <c r="ER134" s="123">
        <f>EM134*EL177</f>
        <v>13.048726817042613</v>
      </c>
    </row>
    <row r="135" spans="12:148" ht="24.95" customHeight="1" x14ac:dyDescent="0.25">
      <c r="L135" s="48"/>
      <c r="M135" s="60"/>
      <c r="DF135" s="77"/>
      <c r="DG135" s="58"/>
      <c r="DL135" s="54"/>
      <c r="DM135" s="86"/>
      <c r="DN135" s="54"/>
      <c r="DO135" s="54"/>
      <c r="DP135" s="54"/>
      <c r="DQ135" s="54"/>
      <c r="DR135" s="54"/>
      <c r="DS135" s="54"/>
      <c r="DT135" s="154"/>
      <c r="DU135" s="20"/>
      <c r="DV135" s="187"/>
      <c r="DW135" s="170"/>
      <c r="DX135" s="93"/>
      <c r="DY135" s="94"/>
      <c r="DZ135" s="93"/>
      <c r="EA135" s="123"/>
      <c r="EB135" s="184"/>
      <c r="EC135" s="96"/>
      <c r="ED135" s="54">
        <f t="shared" si="42"/>
        <v>76</v>
      </c>
      <c r="EE135" s="54" t="s">
        <v>530</v>
      </c>
      <c r="EF135" s="54" t="s">
        <v>218</v>
      </c>
      <c r="EG135" s="188" t="s">
        <v>540</v>
      </c>
      <c r="EH135" s="86"/>
      <c r="EI135" s="54">
        <v>572.46</v>
      </c>
      <c r="EJ135" s="54"/>
      <c r="EK135" s="54"/>
      <c r="EL135" s="176">
        <v>310.84519480519486</v>
      </c>
      <c r="EM135" s="176">
        <f t="shared" si="41"/>
        <v>883.3051948051949</v>
      </c>
      <c r="EN135" s="176">
        <v>205.13703760189327</v>
      </c>
      <c r="EO135" s="123">
        <f>EM135*EI176</f>
        <v>12.046010025062664</v>
      </c>
      <c r="EP135" s="123">
        <f>EM135*EI177</f>
        <v>1.2273293233082714</v>
      </c>
      <c r="EQ135" s="123">
        <f>EM135*EL176</f>
        <v>11.784634335839606</v>
      </c>
      <c r="ER135" s="123">
        <f>EM135*EL177</f>
        <v>14.227928822055144</v>
      </c>
    </row>
    <row r="136" spans="12:148" ht="24.95" customHeight="1" x14ac:dyDescent="0.25">
      <c r="L136" s="48"/>
      <c r="M136" s="60"/>
      <c r="DF136" s="77"/>
      <c r="DG136" s="58"/>
      <c r="DL136" s="54"/>
      <c r="DM136" s="86"/>
      <c r="DN136" s="54"/>
      <c r="DO136" s="54"/>
      <c r="DP136" s="54"/>
      <c r="DQ136" s="54"/>
      <c r="DR136" s="54"/>
      <c r="DS136" s="54"/>
      <c r="DT136" s="154"/>
      <c r="DU136" s="20"/>
      <c r="DV136" s="187"/>
      <c r="DW136" s="170"/>
      <c r="DX136" s="93"/>
      <c r="DY136" s="94"/>
      <c r="DZ136" s="93"/>
      <c r="EA136" s="123"/>
      <c r="EB136" s="184"/>
      <c r="EC136" s="96"/>
      <c r="ED136" s="54">
        <f t="shared" si="42"/>
        <v>77</v>
      </c>
      <c r="EE136" s="54" t="s">
        <v>530</v>
      </c>
      <c r="EF136" s="54" t="s">
        <v>218</v>
      </c>
      <c r="EG136" s="188" t="s">
        <v>541</v>
      </c>
      <c r="EH136" s="86"/>
      <c r="EI136" s="54">
        <v>541.75</v>
      </c>
      <c r="EJ136" s="54"/>
      <c r="EK136" s="54"/>
      <c r="EL136" s="176">
        <v>291.38636363636374</v>
      </c>
      <c r="EM136" s="176">
        <f t="shared" si="41"/>
        <v>833.13636363636374</v>
      </c>
      <c r="EN136" s="176">
        <v>193.48642755719169</v>
      </c>
      <c r="EO136" s="123">
        <f>EM136*EI176</f>
        <v>11.36183625730995</v>
      </c>
      <c r="EP136" s="123">
        <f>EM136*EI177</f>
        <v>1.1576210526315798</v>
      </c>
      <c r="EQ136" s="123">
        <f>EM136*EL176</f>
        <v>11.115305847953223</v>
      </c>
      <c r="ER136" s="123">
        <f>EM136*EL177</f>
        <v>13.419829239766088</v>
      </c>
    </row>
    <row r="137" spans="12:148" ht="24.95" customHeight="1" x14ac:dyDescent="0.25">
      <c r="L137" s="48"/>
      <c r="M137" s="60"/>
      <c r="DF137" s="77"/>
      <c r="DG137" s="58"/>
      <c r="DL137" s="54"/>
      <c r="DM137" s="86"/>
      <c r="DN137" s="54"/>
      <c r="DO137" s="54"/>
      <c r="DP137" s="54"/>
      <c r="DQ137" s="54"/>
      <c r="DR137" s="54"/>
      <c r="DS137" s="54"/>
      <c r="DT137" s="154"/>
      <c r="DU137" s="20"/>
      <c r="DV137" s="187"/>
      <c r="DW137" s="170"/>
      <c r="DX137" s="93"/>
      <c r="DY137" s="94"/>
      <c r="DZ137" s="93"/>
      <c r="EA137" s="123"/>
      <c r="EB137" s="184"/>
      <c r="EC137" s="96"/>
      <c r="ED137" s="54">
        <f t="shared" si="42"/>
        <v>78</v>
      </c>
      <c r="EE137" s="54" t="s">
        <v>530</v>
      </c>
      <c r="EF137" s="54" t="s">
        <v>218</v>
      </c>
      <c r="EG137" s="188" t="s">
        <v>542</v>
      </c>
      <c r="EH137" s="86"/>
      <c r="EI137" s="54">
        <v>582.39</v>
      </c>
      <c r="EJ137" s="54"/>
      <c r="EK137" s="54"/>
      <c r="EL137" s="176">
        <v>303.09701298701304</v>
      </c>
      <c r="EM137" s="176">
        <f t="shared" si="41"/>
        <v>885.48701298701303</v>
      </c>
      <c r="EN137" s="176">
        <v>205.63326728898238</v>
      </c>
      <c r="EO137" s="123">
        <f>EM137*EI176</f>
        <v>12.075764411027576</v>
      </c>
      <c r="EP137" s="123">
        <f>EM137*EI177</f>
        <v>1.2303609022556399</v>
      </c>
      <c r="EQ137" s="123">
        <f>EM137*EL176</f>
        <v>11.813743107769429</v>
      </c>
      <c r="ER137" s="123">
        <f>EM137*EL177</f>
        <v>14.263072681704267</v>
      </c>
    </row>
    <row r="138" spans="12:148" ht="24.95" customHeight="1" x14ac:dyDescent="0.25">
      <c r="L138" s="48"/>
      <c r="M138" s="60"/>
      <c r="DF138" s="77"/>
      <c r="DG138" s="58"/>
      <c r="DL138" s="54"/>
      <c r="DM138" s="86"/>
      <c r="DN138" s="54"/>
      <c r="DO138" s="54"/>
      <c r="DP138" s="54"/>
      <c r="DQ138" s="54"/>
      <c r="DR138" s="54"/>
      <c r="DS138" s="54"/>
      <c r="DT138" s="154"/>
      <c r="DU138" s="20"/>
      <c r="DV138" s="187"/>
      <c r="DW138" s="170"/>
      <c r="DX138" s="93"/>
      <c r="DY138" s="94"/>
      <c r="DZ138" s="93"/>
      <c r="EA138" s="123"/>
      <c r="EB138" s="184"/>
      <c r="EC138" s="96"/>
      <c r="ED138" s="54">
        <f t="shared" si="42"/>
        <v>79</v>
      </c>
      <c r="EE138" s="54" t="s">
        <v>530</v>
      </c>
      <c r="EF138" s="54" t="s">
        <v>334</v>
      </c>
      <c r="EG138" s="188" t="s">
        <v>543</v>
      </c>
      <c r="EH138" s="86"/>
      <c r="EI138" s="54">
        <v>444.12</v>
      </c>
      <c r="EJ138" s="54"/>
      <c r="EK138" s="54"/>
      <c r="EL138" s="176">
        <v>262.44493506493495</v>
      </c>
      <c r="EM138" s="176">
        <f t="shared" si="41"/>
        <v>706.56493506493496</v>
      </c>
      <c r="EN138" s="176">
        <v>164.07942479621352</v>
      </c>
      <c r="EO138" s="123">
        <f>EM138*EI176</f>
        <v>9.6357276524644977</v>
      </c>
      <c r="EP138" s="123">
        <f>EM138*EI177</f>
        <v>0.98175338345864693</v>
      </c>
      <c r="EQ138" s="123">
        <f>EM138*EL176</f>
        <v>9.4266505430242304</v>
      </c>
      <c r="ER138" s="123">
        <f>EM138*EL177</f>
        <v>11.381067000835424</v>
      </c>
    </row>
    <row r="139" spans="12:148" ht="24.95" customHeight="1" x14ac:dyDescent="0.25">
      <c r="L139" s="48"/>
      <c r="M139" s="60"/>
      <c r="DF139" s="77"/>
      <c r="DG139" s="58"/>
      <c r="DL139" s="54"/>
      <c r="DM139" s="86"/>
      <c r="DN139" s="54"/>
      <c r="DO139" s="54"/>
      <c r="DP139" s="54"/>
      <c r="DQ139" s="54"/>
      <c r="DR139" s="54"/>
      <c r="DS139" s="54"/>
      <c r="DT139" s="154"/>
      <c r="DU139" s="20"/>
      <c r="DV139" s="187"/>
      <c r="DW139" s="170"/>
      <c r="DX139" s="93"/>
      <c r="DY139" s="94"/>
      <c r="DZ139" s="93"/>
      <c r="EA139" s="123"/>
      <c r="EB139" s="184"/>
      <c r="EC139" s="96"/>
      <c r="ED139" s="54">
        <f t="shared" si="42"/>
        <v>80</v>
      </c>
      <c r="EE139" s="54" t="s">
        <v>530</v>
      </c>
      <c r="EF139" s="54" t="s">
        <v>334</v>
      </c>
      <c r="EG139" s="188" t="s">
        <v>544</v>
      </c>
      <c r="EH139" s="86"/>
      <c r="EI139" s="54">
        <v>567.70000000000005</v>
      </c>
      <c r="EJ139" s="54"/>
      <c r="EK139" s="54"/>
      <c r="EL139" s="176">
        <v>300.31948051948052</v>
      </c>
      <c r="EM139" s="176">
        <f t="shared" si="41"/>
        <v>868.01948051948057</v>
      </c>
      <c r="EN139" s="176">
        <v>201.57712897712332</v>
      </c>
      <c r="EO139" s="123">
        <f>EM139*EI176</f>
        <v>11.83755221386801</v>
      </c>
      <c r="EP139" s="123">
        <f>EM139*EI177</f>
        <v>1.2060902255639105</v>
      </c>
      <c r="EQ139" s="123">
        <f>EM139*EL176</f>
        <v>11.580699665831251</v>
      </c>
      <c r="ER139" s="123">
        <f>EM139*EL177</f>
        <v>13.981712614870515</v>
      </c>
    </row>
    <row r="140" spans="12:148" ht="24.95" customHeight="1" x14ac:dyDescent="0.25">
      <c r="L140" s="48"/>
      <c r="M140" s="60"/>
      <c r="DF140" s="77"/>
      <c r="DG140" s="58"/>
      <c r="DL140" s="54"/>
      <c r="DM140" s="86"/>
      <c r="DN140" s="54"/>
      <c r="DO140" s="54"/>
      <c r="DP140" s="54"/>
      <c r="DQ140" s="54"/>
      <c r="DR140" s="54"/>
      <c r="DS140" s="54"/>
      <c r="DT140" s="154"/>
      <c r="DU140" s="20"/>
      <c r="DV140" s="187"/>
      <c r="DW140" s="170"/>
      <c r="DX140" s="93"/>
      <c r="DY140" s="94"/>
      <c r="DZ140" s="93"/>
      <c r="EA140" s="123"/>
      <c r="EB140" s="184"/>
      <c r="EC140" s="96"/>
      <c r="ED140" s="54">
        <f t="shared" si="42"/>
        <v>81</v>
      </c>
      <c r="EE140" s="54" t="s">
        <v>530</v>
      </c>
      <c r="EF140" s="54" t="s">
        <v>334</v>
      </c>
      <c r="EG140" s="188" t="s">
        <v>545</v>
      </c>
      <c r="EH140" s="86"/>
      <c r="EI140" s="54">
        <v>455.57</v>
      </c>
      <c r="EJ140" s="54"/>
      <c r="EK140" s="54"/>
      <c r="EL140" s="176">
        <v>264.12480519480522</v>
      </c>
      <c r="EM140" s="176">
        <f t="shared" si="41"/>
        <v>719.69480519480521</v>
      </c>
      <c r="EN140" s="176">
        <v>167.14310373389426</v>
      </c>
      <c r="EO140" s="123">
        <f>EM140*EI176</f>
        <v>9.8147852965747759</v>
      </c>
      <c r="EP140" s="123">
        <f>EM140*EI177</f>
        <v>0.99999699248120355</v>
      </c>
      <c r="EQ140" s="123">
        <f>EM140*EL176</f>
        <v>9.6018229741019265</v>
      </c>
      <c r="ER140" s="123">
        <f>EM140*EL177</f>
        <v>11.592557727652469</v>
      </c>
    </row>
    <row r="141" spans="12:148" ht="24.95" customHeight="1" x14ac:dyDescent="0.25">
      <c r="L141" s="48"/>
      <c r="M141" s="60"/>
      <c r="DF141" s="77"/>
      <c r="DG141" s="58"/>
      <c r="DL141" s="54"/>
      <c r="DM141" s="86"/>
      <c r="DN141" s="54"/>
      <c r="DO141" s="54"/>
      <c r="DP141" s="54"/>
      <c r="DQ141" s="54"/>
      <c r="DR141" s="54"/>
      <c r="DS141" s="54"/>
      <c r="DT141" s="154"/>
      <c r="DU141" s="20"/>
      <c r="DV141" s="187"/>
      <c r="DW141" s="170"/>
      <c r="DX141" s="93"/>
      <c r="DY141" s="94"/>
      <c r="DZ141" s="93"/>
      <c r="EA141" s="123"/>
      <c r="EB141" s="184"/>
      <c r="EC141" s="96"/>
      <c r="ED141" s="54">
        <f t="shared" si="42"/>
        <v>82</v>
      </c>
      <c r="EE141" s="54" t="s">
        <v>530</v>
      </c>
      <c r="EF141" s="54" t="s">
        <v>334</v>
      </c>
      <c r="EG141" s="188" t="s">
        <v>546</v>
      </c>
      <c r="EH141" s="86"/>
      <c r="EI141" s="54">
        <v>577.04999999999995</v>
      </c>
      <c r="EJ141" s="54"/>
      <c r="EK141" s="54"/>
      <c r="EL141" s="176">
        <v>299.7746753246754</v>
      </c>
      <c r="EM141" s="176">
        <f t="shared" si="41"/>
        <v>876.82467532467535</v>
      </c>
      <c r="EN141" s="176">
        <v>203.62677333683934</v>
      </c>
      <c r="EO141" s="123">
        <f>EM141*EI176</f>
        <v>11.957632414369263</v>
      </c>
      <c r="EP141" s="123">
        <f>EM141*EI177</f>
        <v>1.2183248120300758</v>
      </c>
      <c r="EQ141" s="123">
        <f>EM141*EL176</f>
        <v>11.698174352548042</v>
      </c>
      <c r="ER141" s="123">
        <f>EM141*EL177</f>
        <v>14.123543191311619</v>
      </c>
    </row>
    <row r="142" spans="12:148" ht="24.95" customHeight="1" x14ac:dyDescent="0.25">
      <c r="L142" s="48"/>
      <c r="M142" s="60"/>
      <c r="DF142" s="77"/>
      <c r="DG142" s="58"/>
      <c r="DL142" s="54"/>
      <c r="DM142" s="86"/>
      <c r="DN142" s="54"/>
      <c r="DO142" s="54"/>
      <c r="DP142" s="54"/>
      <c r="DQ142" s="54"/>
      <c r="DR142" s="54"/>
      <c r="DS142" s="54"/>
      <c r="DT142" s="154"/>
      <c r="DU142" s="20"/>
      <c r="DV142" s="187"/>
      <c r="DW142" s="170"/>
      <c r="DX142" s="93"/>
      <c r="DY142" s="94"/>
      <c r="DZ142" s="93"/>
      <c r="EA142" s="123"/>
      <c r="EB142" s="184"/>
      <c r="EC142" s="96"/>
      <c r="ED142" s="54">
        <f t="shared" si="42"/>
        <v>83</v>
      </c>
      <c r="EE142" s="54" t="s">
        <v>530</v>
      </c>
      <c r="EF142" s="54" t="s">
        <v>335</v>
      </c>
      <c r="EG142" s="188" t="s">
        <v>547</v>
      </c>
      <c r="EH142" s="86"/>
      <c r="EI142" s="54">
        <v>522.21</v>
      </c>
      <c r="EJ142" s="54"/>
      <c r="EK142" s="54"/>
      <c r="EL142" s="176">
        <v>289.5757142857143</v>
      </c>
      <c r="EM142" s="176">
        <f t="shared" si="41"/>
        <v>811.78571428571433</v>
      </c>
      <c r="EN142" s="176">
        <v>188.52413068630025</v>
      </c>
      <c r="EO142" s="123">
        <f>EM142*EI176</f>
        <v>11.070668337510449</v>
      </c>
      <c r="EP142" s="123">
        <f>EM142*EI177</f>
        <v>1.1279548872180458</v>
      </c>
      <c r="EQ142" s="123">
        <f>EM142*EL176</f>
        <v>10.83045572263994</v>
      </c>
      <c r="ER142" s="123">
        <f>EM142*EL177</f>
        <v>13.075921470342529</v>
      </c>
    </row>
    <row r="143" spans="12:148" ht="24.95" customHeight="1" x14ac:dyDescent="0.25">
      <c r="L143" s="48"/>
      <c r="M143" s="60"/>
      <c r="DF143" s="77"/>
      <c r="DG143" s="58"/>
      <c r="DL143" s="54"/>
      <c r="DM143" s="86"/>
      <c r="DN143" s="54"/>
      <c r="DO143" s="54"/>
      <c r="DP143" s="54"/>
      <c r="DQ143" s="54"/>
      <c r="DR143" s="54"/>
      <c r="DS143" s="54"/>
      <c r="DT143" s="154"/>
      <c r="DU143" s="20"/>
      <c r="DV143" s="187"/>
      <c r="DW143" s="170"/>
      <c r="DX143" s="93"/>
      <c r="DY143" s="94"/>
      <c r="DZ143" s="93"/>
      <c r="EA143" s="123"/>
      <c r="EB143" s="184"/>
      <c r="EC143" s="96"/>
      <c r="ED143" s="54">
        <f t="shared" si="42"/>
        <v>84</v>
      </c>
      <c r="EE143" s="54" t="s">
        <v>530</v>
      </c>
      <c r="EF143" s="54" t="s">
        <v>335</v>
      </c>
      <c r="EG143" s="188" t="s">
        <v>548</v>
      </c>
      <c r="EH143" s="86"/>
      <c r="EI143" s="54">
        <v>572.61</v>
      </c>
      <c r="EJ143" s="54"/>
      <c r="EK143" s="54"/>
      <c r="EL143" s="176">
        <v>309.96792207792214</v>
      </c>
      <c r="EM143" s="176">
        <f t="shared" si="41"/>
        <v>882.57792207792215</v>
      </c>
      <c r="EN143" s="176">
        <v>204.96443597160135</v>
      </c>
      <c r="EO143" s="123">
        <f>EM143*EI176</f>
        <v>12.036091896407694</v>
      </c>
      <c r="EP143" s="123">
        <f>EM143*EI177</f>
        <v>1.2263187969924818</v>
      </c>
      <c r="EQ143" s="123">
        <f>EM143*EL176</f>
        <v>11.774931411862998</v>
      </c>
      <c r="ER143" s="123">
        <f>EM143*EL177</f>
        <v>14.216214202172104</v>
      </c>
    </row>
    <row r="144" spans="12:148" ht="24.95" customHeight="1" x14ac:dyDescent="0.25">
      <c r="L144" s="48"/>
      <c r="M144" s="60"/>
      <c r="DF144" s="77"/>
      <c r="DG144" s="58"/>
      <c r="DL144" s="54"/>
      <c r="DM144" s="86"/>
      <c r="DN144" s="54"/>
      <c r="DO144" s="54"/>
      <c r="DP144" s="54"/>
      <c r="DQ144" s="54"/>
      <c r="DR144" s="54"/>
      <c r="DS144" s="54"/>
      <c r="DT144" s="154"/>
      <c r="DU144" s="20"/>
      <c r="DV144" s="187"/>
      <c r="DW144" s="170"/>
      <c r="DX144" s="93"/>
      <c r="DY144" s="94"/>
      <c r="DZ144" s="93"/>
      <c r="EA144" s="123"/>
      <c r="EB144" s="184"/>
      <c r="EC144" s="96"/>
      <c r="ED144" s="54">
        <f t="shared" si="42"/>
        <v>85</v>
      </c>
      <c r="EE144" s="54" t="s">
        <v>530</v>
      </c>
      <c r="EF144" s="54" t="s">
        <v>335</v>
      </c>
      <c r="EG144" s="188" t="s">
        <v>549</v>
      </c>
      <c r="EH144" s="86"/>
      <c r="EI144" s="54">
        <v>541.75</v>
      </c>
      <c r="EJ144" s="54"/>
      <c r="EK144" s="54"/>
      <c r="EL144" s="176">
        <v>291.39935064935071</v>
      </c>
      <c r="EM144" s="176">
        <f t="shared" si="41"/>
        <v>833.14935064935071</v>
      </c>
      <c r="EN144" s="176">
        <v>193.48642755719169</v>
      </c>
      <c r="EO144" s="123">
        <f>EM144*EI176</f>
        <v>11.362013366750215</v>
      </c>
      <c r="EP144" s="123">
        <f>EM144*EI177</f>
        <v>1.1576390977443616</v>
      </c>
      <c r="EQ144" s="123">
        <f>EM144*EL176</f>
        <v>11.115479114452805</v>
      </c>
      <c r="ER144" s="123">
        <f>EM144*EL177</f>
        <v>13.420038429406857</v>
      </c>
    </row>
    <row r="145" spans="12:148" ht="24.95" customHeight="1" x14ac:dyDescent="0.25">
      <c r="L145" s="48"/>
      <c r="M145" s="60"/>
      <c r="DF145" s="77"/>
      <c r="DG145" s="58"/>
      <c r="DL145" s="54"/>
      <c r="DM145" s="86"/>
      <c r="DN145" s="54"/>
      <c r="DO145" s="54"/>
      <c r="DP145" s="54"/>
      <c r="DQ145" s="54"/>
      <c r="DR145" s="54"/>
      <c r="DS145" s="54"/>
      <c r="DT145" s="154"/>
      <c r="DU145" s="20"/>
      <c r="DV145" s="187"/>
      <c r="DW145" s="170"/>
      <c r="DX145" s="93"/>
      <c r="DY145" s="94"/>
      <c r="DZ145" s="93"/>
      <c r="EA145" s="123"/>
      <c r="EB145" s="184"/>
      <c r="EC145" s="96"/>
      <c r="ED145" s="54">
        <f t="shared" si="42"/>
        <v>86</v>
      </c>
      <c r="EE145" s="54" t="s">
        <v>530</v>
      </c>
      <c r="EF145" s="54" t="s">
        <v>335</v>
      </c>
      <c r="EG145" s="188" t="s">
        <v>550</v>
      </c>
      <c r="EH145" s="86"/>
      <c r="EI145" s="54">
        <v>582.47</v>
      </c>
      <c r="EJ145" s="54"/>
      <c r="EK145" s="54"/>
      <c r="EL145" s="176">
        <v>303.09493506493504</v>
      </c>
      <c r="EM145" s="176">
        <f t="shared" si="41"/>
        <v>885.56493506493507</v>
      </c>
      <c r="EN145" s="176">
        <v>205.65484249276886</v>
      </c>
      <c r="EO145" s="123">
        <f>EM145*EI176</f>
        <v>12.076827067669178</v>
      </c>
      <c r="EP145" s="123">
        <f>EM145*EI177</f>
        <v>1.2304691729323314</v>
      </c>
      <c r="EQ145" s="123">
        <f>EM145*EL176</f>
        <v>11.814782706766923</v>
      </c>
      <c r="ER145" s="123">
        <f>EM145*EL177</f>
        <v>14.264327819548878</v>
      </c>
    </row>
    <row r="146" spans="12:148" ht="24.95" customHeight="1" x14ac:dyDescent="0.25">
      <c r="L146" s="48"/>
      <c r="M146" s="60"/>
      <c r="DF146" s="77"/>
      <c r="DG146" s="58"/>
      <c r="DL146" s="54"/>
      <c r="DM146" s="86"/>
      <c r="DN146" s="54"/>
      <c r="DO146" s="54"/>
      <c r="DP146" s="54"/>
      <c r="DQ146" s="54"/>
      <c r="DR146" s="54"/>
      <c r="DS146" s="54"/>
      <c r="DT146" s="154"/>
      <c r="DU146" s="20"/>
      <c r="DV146" s="187"/>
      <c r="DW146" s="170"/>
      <c r="DX146" s="93"/>
      <c r="DY146" s="94"/>
      <c r="DZ146" s="93"/>
      <c r="EA146" s="123"/>
      <c r="EB146" s="184"/>
      <c r="EC146" s="96"/>
      <c r="ED146" s="54">
        <f t="shared" si="42"/>
        <v>87</v>
      </c>
      <c r="EE146" s="54" t="s">
        <v>530</v>
      </c>
      <c r="EF146" s="54" t="s">
        <v>336</v>
      </c>
      <c r="EG146" s="188" t="s">
        <v>551</v>
      </c>
      <c r="EH146" s="86"/>
      <c r="EI146" s="54">
        <v>522.21</v>
      </c>
      <c r="EJ146" s="54"/>
      <c r="EK146" s="54"/>
      <c r="EL146" s="176">
        <v>289.5757142857143</v>
      </c>
      <c r="EM146" s="176">
        <f t="shared" si="41"/>
        <v>811.78571428571433</v>
      </c>
      <c r="EN146" s="176">
        <v>188.52413068630025</v>
      </c>
      <c r="EO146" s="123">
        <f>EM146*EI176</f>
        <v>11.070668337510449</v>
      </c>
      <c r="EP146" s="123">
        <f>EM146*EI177</f>
        <v>1.1279548872180458</v>
      </c>
      <c r="EQ146" s="123">
        <f>EM146*EL176</f>
        <v>10.83045572263994</v>
      </c>
      <c r="ER146" s="123">
        <f>EM146*EL177</f>
        <v>13.075921470342529</v>
      </c>
    </row>
    <row r="147" spans="12:148" ht="24.95" customHeight="1" x14ac:dyDescent="0.25">
      <c r="L147" s="48"/>
      <c r="M147" s="60"/>
      <c r="DF147" s="77"/>
      <c r="DG147" s="58"/>
      <c r="DL147" s="54"/>
      <c r="DM147" s="86"/>
      <c r="DN147" s="54"/>
      <c r="DO147" s="54"/>
      <c r="DP147" s="54"/>
      <c r="DQ147" s="54"/>
      <c r="DR147" s="54"/>
      <c r="DS147" s="54"/>
      <c r="DT147" s="154"/>
      <c r="DU147" s="20"/>
      <c r="DV147" s="187"/>
      <c r="DW147" s="170"/>
      <c r="DX147" s="93"/>
      <c r="DY147" s="94"/>
      <c r="DZ147" s="93"/>
      <c r="EA147" s="123"/>
      <c r="EB147" s="184"/>
      <c r="EC147" s="96"/>
      <c r="ED147" s="54">
        <f t="shared" si="42"/>
        <v>88</v>
      </c>
      <c r="EE147" s="54" t="s">
        <v>530</v>
      </c>
      <c r="EF147" s="54" t="s">
        <v>336</v>
      </c>
      <c r="EG147" s="188" t="s">
        <v>552</v>
      </c>
      <c r="EH147" s="86"/>
      <c r="EI147" s="54">
        <v>572.61</v>
      </c>
      <c r="EJ147" s="54"/>
      <c r="EK147" s="54"/>
      <c r="EL147" s="176">
        <v>309.96792207792214</v>
      </c>
      <c r="EM147" s="176">
        <f t="shared" si="41"/>
        <v>882.57792207792215</v>
      </c>
      <c r="EN147" s="176">
        <v>204.96443597160135</v>
      </c>
      <c r="EO147" s="123">
        <f>EM147*EI176</f>
        <v>12.036091896407694</v>
      </c>
      <c r="EP147" s="123">
        <f>EM147*EI177</f>
        <v>1.2263187969924818</v>
      </c>
      <c r="EQ147" s="123">
        <f>EM147*EL176</f>
        <v>11.774931411862998</v>
      </c>
      <c r="ER147" s="123">
        <f>EM147*EL177</f>
        <v>14.216214202172104</v>
      </c>
    </row>
    <row r="148" spans="12:148" ht="24.95" customHeight="1" x14ac:dyDescent="0.25">
      <c r="L148" s="48"/>
      <c r="M148" s="60"/>
      <c r="DF148" s="77"/>
      <c r="DG148" s="58"/>
      <c r="DL148" s="54"/>
      <c r="DM148" s="86"/>
      <c r="DN148" s="54"/>
      <c r="DO148" s="54"/>
      <c r="DP148" s="54"/>
      <c r="DQ148" s="54"/>
      <c r="DR148" s="54"/>
      <c r="DS148" s="54"/>
      <c r="DT148" s="154"/>
      <c r="DU148" s="20"/>
      <c r="DV148" s="187"/>
      <c r="DW148" s="170"/>
      <c r="DX148" s="93"/>
      <c r="DY148" s="94"/>
      <c r="DZ148" s="93"/>
      <c r="EA148" s="123"/>
      <c r="EB148" s="184"/>
      <c r="EC148" s="96"/>
      <c r="ED148" s="54">
        <f t="shared" si="42"/>
        <v>89</v>
      </c>
      <c r="EE148" s="54" t="s">
        <v>530</v>
      </c>
      <c r="EF148" s="54" t="s">
        <v>336</v>
      </c>
      <c r="EG148" s="188" t="s">
        <v>553</v>
      </c>
      <c r="EH148" s="86"/>
      <c r="EI148" s="54">
        <v>541.75</v>
      </c>
      <c r="EJ148" s="54"/>
      <c r="EK148" s="54"/>
      <c r="EL148" s="176">
        <v>291.39935064935071</v>
      </c>
      <c r="EM148" s="176">
        <f t="shared" si="41"/>
        <v>833.14935064935071</v>
      </c>
      <c r="EN148" s="176">
        <v>193.48642755719169</v>
      </c>
      <c r="EO148" s="123">
        <f>EM148*EI176</f>
        <v>11.362013366750215</v>
      </c>
      <c r="EP148" s="123">
        <f>EM148*EI177</f>
        <v>1.1576390977443616</v>
      </c>
      <c r="EQ148" s="123">
        <f>EM148*EL176</f>
        <v>11.115479114452805</v>
      </c>
      <c r="ER148" s="123">
        <f>EM148*EL177</f>
        <v>13.420038429406857</v>
      </c>
    </row>
    <row r="149" spans="12:148" ht="24.95" customHeight="1" x14ac:dyDescent="0.25">
      <c r="L149" s="48"/>
      <c r="M149" s="60"/>
      <c r="DF149" s="77"/>
      <c r="DG149" s="58"/>
      <c r="DL149" s="54"/>
      <c r="DM149" s="86"/>
      <c r="DN149" s="54"/>
      <c r="DO149" s="54"/>
      <c r="DP149" s="54"/>
      <c r="DQ149" s="54"/>
      <c r="DR149" s="54"/>
      <c r="DS149" s="54"/>
      <c r="DT149" s="154"/>
      <c r="DU149" s="20"/>
      <c r="DV149" s="187"/>
      <c r="DW149" s="170"/>
      <c r="DX149" s="93"/>
      <c r="DY149" s="94"/>
      <c r="DZ149" s="93"/>
      <c r="EA149" s="123"/>
      <c r="EB149" s="184"/>
      <c r="EC149" s="96"/>
      <c r="ED149" s="54">
        <f t="shared" si="42"/>
        <v>90</v>
      </c>
      <c r="EE149" s="54" t="s">
        <v>530</v>
      </c>
      <c r="EF149" s="54" t="s">
        <v>336</v>
      </c>
      <c r="EG149" s="188" t="s">
        <v>554</v>
      </c>
      <c r="EH149" s="86"/>
      <c r="EI149" s="54">
        <v>582.47</v>
      </c>
      <c r="EJ149" s="54"/>
      <c r="EK149" s="54"/>
      <c r="EL149" s="176">
        <v>303.09493506493504</v>
      </c>
      <c r="EM149" s="176">
        <f t="shared" si="41"/>
        <v>885.56493506493507</v>
      </c>
      <c r="EN149" s="176">
        <v>205.65484249276886</v>
      </c>
      <c r="EO149" s="123">
        <f>EM149*EI176</f>
        <v>12.076827067669178</v>
      </c>
      <c r="EP149" s="123">
        <f>EM149*EI177</f>
        <v>1.2304691729323314</v>
      </c>
      <c r="EQ149" s="123">
        <f>EM149*EL176</f>
        <v>11.814782706766923</v>
      </c>
      <c r="ER149" s="123">
        <f>EM149*EL177</f>
        <v>14.264327819548878</v>
      </c>
    </row>
    <row r="150" spans="12:148" ht="24.95" customHeight="1" x14ac:dyDescent="0.25">
      <c r="L150" s="48"/>
      <c r="M150" s="60"/>
      <c r="DF150" s="77"/>
      <c r="DG150" s="58"/>
      <c r="DL150" s="54"/>
      <c r="DM150" s="86"/>
      <c r="DN150" s="54"/>
      <c r="DO150" s="54"/>
      <c r="DP150" s="54"/>
      <c r="DQ150" s="54"/>
      <c r="DR150" s="54"/>
      <c r="DS150" s="54"/>
      <c r="DT150" s="154"/>
      <c r="DU150" s="20"/>
      <c r="DV150" s="187"/>
      <c r="DW150" s="170"/>
      <c r="DX150" s="93"/>
      <c r="DY150" s="94"/>
      <c r="DZ150" s="93"/>
      <c r="EA150" s="123"/>
      <c r="EB150" s="184"/>
      <c r="EC150" s="96"/>
      <c r="ED150" s="54">
        <f t="shared" si="42"/>
        <v>91</v>
      </c>
      <c r="EE150" s="54" t="s">
        <v>530</v>
      </c>
      <c r="EF150" s="54" t="s">
        <v>222</v>
      </c>
      <c r="EG150" s="188" t="s">
        <v>555</v>
      </c>
      <c r="EH150" s="86"/>
      <c r="EI150" s="54">
        <v>522.21</v>
      </c>
      <c r="EJ150" s="54"/>
      <c r="EK150" s="54"/>
      <c r="EL150" s="176">
        <v>289.5757142857143</v>
      </c>
      <c r="EM150" s="176">
        <f t="shared" si="41"/>
        <v>811.78571428571433</v>
      </c>
      <c r="EN150" s="176">
        <v>188.52413068630025</v>
      </c>
      <c r="EO150" s="123">
        <f>EM150*EI176</f>
        <v>11.070668337510449</v>
      </c>
      <c r="EP150" s="123">
        <f>EM150*EI177</f>
        <v>1.1279548872180458</v>
      </c>
      <c r="EQ150" s="123">
        <f>EM150*EL176</f>
        <v>10.83045572263994</v>
      </c>
      <c r="ER150" s="123">
        <f>EM150*EL177</f>
        <v>13.075921470342529</v>
      </c>
    </row>
    <row r="151" spans="12:148" ht="24.95" customHeight="1" x14ac:dyDescent="0.25">
      <c r="L151" s="48"/>
      <c r="M151" s="60"/>
      <c r="DF151" s="77"/>
      <c r="DG151" s="58"/>
      <c r="DL151" s="54"/>
      <c r="DM151" s="86"/>
      <c r="DN151" s="54"/>
      <c r="DO151" s="54"/>
      <c r="DP151" s="54"/>
      <c r="DQ151" s="54"/>
      <c r="DR151" s="54"/>
      <c r="DS151" s="54"/>
      <c r="DT151" s="154"/>
      <c r="DU151" s="20"/>
      <c r="DV151" s="187"/>
      <c r="DW151" s="170"/>
      <c r="DX151" s="93"/>
      <c r="DY151" s="94"/>
      <c r="DZ151" s="93"/>
      <c r="EA151" s="123"/>
      <c r="EB151" s="184"/>
      <c r="EC151" s="96"/>
      <c r="ED151" s="54">
        <f t="shared" si="42"/>
        <v>92</v>
      </c>
      <c r="EE151" s="54" t="s">
        <v>530</v>
      </c>
      <c r="EF151" s="54" t="s">
        <v>222</v>
      </c>
      <c r="EG151" s="188" t="s">
        <v>556</v>
      </c>
      <c r="EH151" s="86"/>
      <c r="EI151" s="54">
        <v>572.61</v>
      </c>
      <c r="EJ151" s="54"/>
      <c r="EK151" s="54"/>
      <c r="EL151" s="176">
        <v>309.96792207792214</v>
      </c>
      <c r="EM151" s="176">
        <f t="shared" si="41"/>
        <v>882.57792207792215</v>
      </c>
      <c r="EN151" s="176">
        <v>204.96443597160135</v>
      </c>
      <c r="EO151" s="123">
        <f>EM151*EI176</f>
        <v>12.036091896407694</v>
      </c>
      <c r="EP151" s="123">
        <f>EM151*EI177</f>
        <v>1.2263187969924818</v>
      </c>
      <c r="EQ151" s="123">
        <f>EM151*EL176</f>
        <v>11.774931411862998</v>
      </c>
      <c r="ER151" s="123">
        <f>EM151*EL177</f>
        <v>14.216214202172104</v>
      </c>
    </row>
    <row r="152" spans="12:148" ht="24.95" customHeight="1" x14ac:dyDescent="0.25">
      <c r="L152" s="48"/>
      <c r="M152" s="60"/>
      <c r="DF152" s="77"/>
      <c r="DG152" s="58"/>
      <c r="DL152" s="54"/>
      <c r="DM152" s="86"/>
      <c r="DN152" s="54"/>
      <c r="DO152" s="54"/>
      <c r="DP152" s="54"/>
      <c r="DQ152" s="54"/>
      <c r="DR152" s="54"/>
      <c r="DS152" s="54"/>
      <c r="DT152" s="154"/>
      <c r="DU152" s="20"/>
      <c r="DV152" s="187"/>
      <c r="DW152" s="170"/>
      <c r="DX152" s="93"/>
      <c r="DY152" s="94"/>
      <c r="DZ152" s="93"/>
      <c r="EA152" s="123"/>
      <c r="EB152" s="184"/>
      <c r="EC152" s="96"/>
      <c r="ED152" s="54">
        <f t="shared" si="42"/>
        <v>93</v>
      </c>
      <c r="EE152" s="54" t="s">
        <v>530</v>
      </c>
      <c r="EF152" s="54" t="s">
        <v>222</v>
      </c>
      <c r="EG152" s="188" t="s">
        <v>557</v>
      </c>
      <c r="EH152" s="86"/>
      <c r="EI152" s="54">
        <v>541.75</v>
      </c>
      <c r="EJ152" s="54"/>
      <c r="EK152" s="54"/>
      <c r="EL152" s="176">
        <v>291.39935064935071</v>
      </c>
      <c r="EM152" s="176">
        <f t="shared" si="41"/>
        <v>833.14935064935071</v>
      </c>
      <c r="EN152" s="176">
        <v>193.48642755719169</v>
      </c>
      <c r="EO152" s="123">
        <f>EM152*EI176</f>
        <v>11.362013366750215</v>
      </c>
      <c r="EP152" s="123">
        <f>EM152*EI177</f>
        <v>1.1576390977443616</v>
      </c>
      <c r="EQ152" s="123">
        <f>EM152*EL176</f>
        <v>11.115479114452805</v>
      </c>
      <c r="ER152" s="123">
        <f>EM152*EL177</f>
        <v>13.420038429406857</v>
      </c>
    </row>
    <row r="153" spans="12:148" ht="24.95" customHeight="1" x14ac:dyDescent="0.25">
      <c r="L153" s="48"/>
      <c r="M153" s="60"/>
      <c r="DF153" s="77"/>
      <c r="DG153" s="58"/>
      <c r="DL153" s="54"/>
      <c r="DM153" s="86"/>
      <c r="DN153" s="54"/>
      <c r="DO153" s="54"/>
      <c r="DP153" s="54"/>
      <c r="DQ153" s="54"/>
      <c r="DR153" s="54"/>
      <c r="DS153" s="54"/>
      <c r="DT153" s="154"/>
      <c r="DU153" s="20"/>
      <c r="DV153" s="187"/>
      <c r="DW153" s="170"/>
      <c r="DX153" s="93"/>
      <c r="DY153" s="94"/>
      <c r="DZ153" s="93"/>
      <c r="EA153" s="123"/>
      <c r="EB153" s="184"/>
      <c r="EC153" s="96"/>
      <c r="ED153" s="54">
        <f t="shared" si="42"/>
        <v>94</v>
      </c>
      <c r="EE153" s="54" t="s">
        <v>530</v>
      </c>
      <c r="EF153" s="54" t="s">
        <v>222</v>
      </c>
      <c r="EG153" s="188" t="s">
        <v>558</v>
      </c>
      <c r="EH153" s="86"/>
      <c r="EI153" s="54">
        <v>582.47</v>
      </c>
      <c r="EJ153" s="54"/>
      <c r="EK153" s="54"/>
      <c r="EL153" s="176">
        <v>303.09493506493504</v>
      </c>
      <c r="EM153" s="176">
        <f t="shared" si="41"/>
        <v>885.56493506493507</v>
      </c>
      <c r="EN153" s="176">
        <v>205.65484249276886</v>
      </c>
      <c r="EO153" s="123">
        <f>EM153*EI176</f>
        <v>12.076827067669178</v>
      </c>
      <c r="EP153" s="123">
        <f>EM153*EI177</f>
        <v>1.2304691729323314</v>
      </c>
      <c r="EQ153" s="123">
        <f>EM153*EL176</f>
        <v>11.814782706766923</v>
      </c>
      <c r="ER153" s="123">
        <f>EM153*EL177</f>
        <v>14.264327819548878</v>
      </c>
    </row>
    <row r="154" spans="12:148" ht="24.95" customHeight="1" x14ac:dyDescent="0.25">
      <c r="L154" s="48"/>
      <c r="M154" s="60"/>
      <c r="DF154" s="77"/>
      <c r="DG154" s="58"/>
      <c r="DL154" s="54"/>
      <c r="DM154" s="86"/>
      <c r="DN154" s="54"/>
      <c r="DO154" s="54"/>
      <c r="DP154" s="54"/>
      <c r="DQ154" s="54"/>
      <c r="DR154" s="54"/>
      <c r="DS154" s="54"/>
      <c r="DT154" s="154"/>
      <c r="DU154" s="20"/>
      <c r="DV154" s="187"/>
      <c r="DW154" s="170"/>
      <c r="DX154" s="93"/>
      <c r="DY154" s="94"/>
      <c r="DZ154" s="93"/>
      <c r="EA154" s="123"/>
      <c r="EB154" s="184"/>
      <c r="EC154" s="96"/>
      <c r="ED154" s="54">
        <f t="shared" si="42"/>
        <v>95</v>
      </c>
      <c r="EE154" s="54" t="s">
        <v>530</v>
      </c>
      <c r="EF154" s="54" t="s">
        <v>223</v>
      </c>
      <c r="EG154" s="188" t="s">
        <v>338</v>
      </c>
      <c r="EH154" s="86"/>
      <c r="EI154" s="54">
        <v>443.36</v>
      </c>
      <c r="EJ154" s="221"/>
      <c r="EK154" s="221"/>
      <c r="EL154" s="176">
        <v>259.73740259740259</v>
      </c>
      <c r="EM154" s="176">
        <f t="shared" si="41"/>
        <v>703.09740259740261</v>
      </c>
      <c r="EN154" s="176">
        <v>163.28114225611358</v>
      </c>
      <c r="EO154" s="123">
        <f>EM154*EI176</f>
        <v>9.5884394319131214</v>
      </c>
      <c r="EP154" s="123">
        <f>EM154*EI177</f>
        <v>0.97693533834586521</v>
      </c>
      <c r="EQ154" s="123">
        <f>EM154*EL176</f>
        <v>9.3803883876357599</v>
      </c>
      <c r="ER154" s="123">
        <f>EM154*EL177</f>
        <v>11.325213366750214</v>
      </c>
    </row>
    <row r="155" spans="12:148" ht="24.95" customHeight="1" x14ac:dyDescent="0.25">
      <c r="L155" s="48"/>
      <c r="M155" s="60"/>
      <c r="DF155" s="77"/>
      <c r="DG155" s="58"/>
      <c r="DL155" s="54"/>
      <c r="DM155" s="86"/>
      <c r="DN155" s="54"/>
      <c r="DO155" s="54"/>
      <c r="DP155" s="54"/>
      <c r="DQ155" s="54"/>
      <c r="DR155" s="54"/>
      <c r="DS155" s="54"/>
      <c r="DT155" s="154"/>
      <c r="DU155" s="20"/>
      <c r="DV155" s="187"/>
      <c r="DW155" s="170"/>
      <c r="DX155" s="93"/>
      <c r="DY155" s="94"/>
      <c r="DZ155" s="93"/>
      <c r="EA155" s="123"/>
      <c r="EB155" s="184"/>
      <c r="EC155" s="96"/>
      <c r="ED155" s="54">
        <f t="shared" si="42"/>
        <v>96</v>
      </c>
      <c r="EE155" s="54" t="s">
        <v>530</v>
      </c>
      <c r="EF155" s="54" t="s">
        <v>223</v>
      </c>
      <c r="EG155" s="188" t="s">
        <v>339</v>
      </c>
      <c r="EH155" s="86"/>
      <c r="EI155" s="54">
        <v>565.38</v>
      </c>
      <c r="EJ155" s="54"/>
      <c r="EK155" s="54"/>
      <c r="EL155" s="176">
        <v>302.17194805194811</v>
      </c>
      <c r="EM155" s="176">
        <f t="shared" si="41"/>
        <v>867.5519480519481</v>
      </c>
      <c r="EN155" s="176">
        <v>201.46925295819088</v>
      </c>
      <c r="EO155" s="123">
        <f>EM155*EI176</f>
        <v>11.831176274018386</v>
      </c>
      <c r="EP155" s="123">
        <f>EM155*EI177</f>
        <v>1.20544060150376</v>
      </c>
      <c r="EQ155" s="123">
        <f>EM155*EL176</f>
        <v>11.574462071846288</v>
      </c>
      <c r="ER155" s="123">
        <f>EM155*EL177</f>
        <v>13.974181787802847</v>
      </c>
    </row>
    <row r="156" spans="12:148" ht="24.95" customHeight="1" x14ac:dyDescent="0.25">
      <c r="L156" s="48"/>
      <c r="M156" s="60"/>
      <c r="DF156" s="77"/>
      <c r="DG156" s="58"/>
      <c r="DL156" s="54"/>
      <c r="DM156" s="86"/>
      <c r="DN156" s="54"/>
      <c r="DO156" s="54"/>
      <c r="DP156" s="54"/>
      <c r="DQ156" s="54"/>
      <c r="DR156" s="54"/>
      <c r="DS156" s="54"/>
      <c r="DT156" s="154"/>
      <c r="DU156" s="20"/>
      <c r="DV156" s="187"/>
      <c r="DW156" s="170"/>
      <c r="DX156" s="93"/>
      <c r="DY156" s="94"/>
      <c r="DZ156" s="93"/>
      <c r="EA156" s="123"/>
      <c r="EB156" s="184"/>
      <c r="EC156" s="96"/>
      <c r="ED156" s="54">
        <f t="shared" si="42"/>
        <v>97</v>
      </c>
      <c r="EE156" s="54" t="s">
        <v>530</v>
      </c>
      <c r="EF156" s="54" t="s">
        <v>223</v>
      </c>
      <c r="EG156" s="188" t="s">
        <v>340</v>
      </c>
      <c r="EH156" s="86"/>
      <c r="EI156" s="54">
        <v>452.08</v>
      </c>
      <c r="EJ156" s="54"/>
      <c r="EK156" s="54"/>
      <c r="EL156" s="176">
        <v>261.30311688311684</v>
      </c>
      <c r="EM156" s="176">
        <f t="shared" si="41"/>
        <v>713.38311688311683</v>
      </c>
      <c r="EN156" s="176">
        <v>165.67598987641335</v>
      </c>
      <c r="EO156" s="123">
        <f>EM156*EI176</f>
        <v>9.7287101086048491</v>
      </c>
      <c r="EP156" s="123">
        <f>EM156*EI177</f>
        <v>0.99122706766917335</v>
      </c>
      <c r="EQ156" s="123">
        <f>EM156*EL176</f>
        <v>9.5176154553049326</v>
      </c>
      <c r="ER156" s="123">
        <f>EM156*EL177</f>
        <v>11.490891562238934</v>
      </c>
    </row>
    <row r="157" spans="12:148" ht="24.95" customHeight="1" x14ac:dyDescent="0.25">
      <c r="L157" s="48"/>
      <c r="M157" s="60"/>
      <c r="DF157" s="77"/>
      <c r="DG157" s="58"/>
      <c r="DL157" s="54"/>
      <c r="DM157" s="86"/>
      <c r="DN157" s="54"/>
      <c r="DO157" s="54"/>
      <c r="DP157" s="54"/>
      <c r="DQ157" s="54"/>
      <c r="DR157" s="54"/>
      <c r="DS157" s="54"/>
      <c r="DT157" s="154"/>
      <c r="DU157" s="20"/>
      <c r="DV157" s="187"/>
      <c r="DW157" s="170"/>
      <c r="DX157" s="93"/>
      <c r="DY157" s="94"/>
      <c r="DZ157" s="93"/>
      <c r="EA157" s="123"/>
      <c r="EB157" s="184"/>
      <c r="EC157" s="96"/>
      <c r="ED157" s="54">
        <f t="shared" si="42"/>
        <v>98</v>
      </c>
      <c r="EE157" s="54" t="s">
        <v>530</v>
      </c>
      <c r="EF157" s="54" t="s">
        <v>223</v>
      </c>
      <c r="EG157" s="188" t="s">
        <v>341</v>
      </c>
      <c r="EH157" s="86"/>
      <c r="EI157" s="54">
        <v>573.91</v>
      </c>
      <c r="EJ157" s="54"/>
      <c r="EK157" s="54"/>
      <c r="EL157" s="176">
        <v>298.30428571428558</v>
      </c>
      <c r="EM157" s="176">
        <f t="shared" si="41"/>
        <v>872.21428571428555</v>
      </c>
      <c r="EN157" s="176">
        <v>202.56958835130158</v>
      </c>
      <c r="EO157" s="123">
        <f>EM157*EI176</f>
        <v>11.894758563074356</v>
      </c>
      <c r="EP157" s="123">
        <f>EM157*EI177</f>
        <v>1.2119187969924816</v>
      </c>
      <c r="EQ157" s="123">
        <f>EM157*EL176</f>
        <v>11.636664745196327</v>
      </c>
      <c r="ER157" s="123">
        <f>EM157*EL177</f>
        <v>14.049280868838766</v>
      </c>
    </row>
    <row r="158" spans="12:148" ht="24.95" customHeight="1" x14ac:dyDescent="0.25">
      <c r="L158" s="48"/>
      <c r="M158" s="60"/>
      <c r="DF158" s="77"/>
      <c r="DG158" s="58"/>
      <c r="DL158" s="54"/>
      <c r="DM158" s="86"/>
      <c r="DN158" s="54"/>
      <c r="DO158" s="54"/>
      <c r="DP158" s="54"/>
      <c r="DQ158" s="54"/>
      <c r="DR158" s="54"/>
      <c r="DS158" s="54"/>
      <c r="DT158" s="154"/>
      <c r="DU158" s="20"/>
      <c r="DV158" s="187"/>
      <c r="DW158" s="170"/>
      <c r="DX158" s="93"/>
      <c r="DY158" s="94"/>
      <c r="DZ158" s="93"/>
      <c r="EA158" s="123"/>
      <c r="EB158" s="184"/>
      <c r="EC158" s="96"/>
      <c r="ED158" s="54">
        <f t="shared" si="42"/>
        <v>99</v>
      </c>
      <c r="EE158" s="54" t="s">
        <v>530</v>
      </c>
      <c r="EF158" s="54" t="s">
        <v>583</v>
      </c>
      <c r="EG158" s="188" t="s">
        <v>559</v>
      </c>
      <c r="EH158" s="86"/>
      <c r="EI158" s="54">
        <v>520.11</v>
      </c>
      <c r="EJ158" s="54"/>
      <c r="EK158" s="54"/>
      <c r="EL158" s="176">
        <v>287.87051948051965</v>
      </c>
      <c r="EM158" s="176">
        <f t="shared" si="41"/>
        <v>807.98051948051966</v>
      </c>
      <c r="EN158" s="176">
        <v>187.63954733105444</v>
      </c>
      <c r="EO158" s="123">
        <f>EM158*EI176</f>
        <v>11.018775271512121</v>
      </c>
      <c r="EP158" s="123">
        <f>EM158*EI177</f>
        <v>1.1226676691729331</v>
      </c>
      <c r="EQ158" s="123">
        <f>EM158*EL176</f>
        <v>10.77968863826233</v>
      </c>
      <c r="ER158" s="123">
        <f>EM158*EL177</f>
        <v>13.014628905597334</v>
      </c>
    </row>
    <row r="159" spans="12:148" ht="24.95" customHeight="1" x14ac:dyDescent="0.25">
      <c r="L159" s="48"/>
      <c r="M159" s="60"/>
      <c r="DF159" s="77"/>
      <c r="DG159" s="58"/>
      <c r="DL159" s="54"/>
      <c r="DM159" s="86"/>
      <c r="DN159" s="54"/>
      <c r="DO159" s="54"/>
      <c r="DP159" s="54"/>
      <c r="DQ159" s="54"/>
      <c r="DR159" s="54"/>
      <c r="DS159" s="54"/>
      <c r="DT159" s="154"/>
      <c r="DU159" s="20"/>
      <c r="DV159" s="187"/>
      <c r="DW159" s="170"/>
      <c r="DX159" s="93"/>
      <c r="DY159" s="94"/>
      <c r="DZ159" s="93"/>
      <c r="EA159" s="123"/>
      <c r="EB159" s="184"/>
      <c r="EC159" s="96"/>
      <c r="ED159" s="54">
        <f t="shared" si="42"/>
        <v>100</v>
      </c>
      <c r="EE159" s="54" t="s">
        <v>530</v>
      </c>
      <c r="EF159" s="54" t="s">
        <v>583</v>
      </c>
      <c r="EG159" s="188" t="s">
        <v>560</v>
      </c>
      <c r="EH159" s="86"/>
      <c r="EI159" s="54">
        <v>574.45000000000005</v>
      </c>
      <c r="EJ159" s="54"/>
      <c r="EK159" s="54"/>
      <c r="EL159" s="176">
        <v>307.08896103896109</v>
      </c>
      <c r="EM159" s="176">
        <f t="shared" si="41"/>
        <v>881.53896103896113</v>
      </c>
      <c r="EN159" s="176">
        <v>204.72710872995003</v>
      </c>
      <c r="EO159" s="123">
        <f>EM159*EI176</f>
        <v>12.021923141186306</v>
      </c>
      <c r="EP159" s="123">
        <f>EM159*EI177</f>
        <v>1.2248751879699256</v>
      </c>
      <c r="EQ159" s="123">
        <f>EM159*EL176</f>
        <v>11.761070091896414</v>
      </c>
      <c r="ER159" s="123">
        <f>EM159*EL177</f>
        <v>14.199479030910616</v>
      </c>
    </row>
    <row r="160" spans="12:148" ht="24.95" customHeight="1" x14ac:dyDescent="0.25">
      <c r="L160" s="48"/>
      <c r="M160" s="60"/>
      <c r="DF160" s="77"/>
      <c r="DG160" s="58"/>
      <c r="DL160" s="54"/>
      <c r="DM160" s="86"/>
      <c r="DN160" s="54"/>
      <c r="DO160" s="54"/>
      <c r="DP160" s="54"/>
      <c r="DQ160" s="54"/>
      <c r="DR160" s="54"/>
      <c r="DS160" s="54"/>
      <c r="DT160" s="154"/>
      <c r="DU160" s="20"/>
      <c r="DV160" s="187"/>
      <c r="DW160" s="170"/>
      <c r="DX160" s="93"/>
      <c r="DY160" s="94"/>
      <c r="DZ160" s="93"/>
      <c r="EA160" s="123"/>
      <c r="EB160" s="184"/>
      <c r="EC160" s="96"/>
      <c r="ED160" s="54">
        <f t="shared" si="42"/>
        <v>101</v>
      </c>
      <c r="EE160" s="54" t="s">
        <v>530</v>
      </c>
      <c r="EF160" s="54" t="s">
        <v>583</v>
      </c>
      <c r="EG160" s="188" t="s">
        <v>561</v>
      </c>
      <c r="EH160" s="86"/>
      <c r="EI160" s="93">
        <v>536.5</v>
      </c>
      <c r="EJ160" s="54"/>
      <c r="EK160" s="54"/>
      <c r="EL160" s="176">
        <v>289.4545454545455</v>
      </c>
      <c r="EM160" s="176">
        <f t="shared" si="41"/>
        <v>825.9545454545455</v>
      </c>
      <c r="EN160" s="176">
        <v>191.8251368656324</v>
      </c>
      <c r="EO160" s="123">
        <f>EM160*EI176</f>
        <v>11.263894736842111</v>
      </c>
      <c r="EP160" s="123">
        <f>EM160*EI177</f>
        <v>1.1476421052631585</v>
      </c>
      <c r="EQ160" s="123">
        <f>EM160*EL176</f>
        <v>11.019489473684215</v>
      </c>
      <c r="ER160" s="123">
        <f>EM160*EL177</f>
        <v>13.304147368421058</v>
      </c>
    </row>
    <row r="161" spans="3:148" ht="24.95" customHeight="1" x14ac:dyDescent="0.25">
      <c r="L161" s="48"/>
      <c r="M161" s="60"/>
      <c r="DF161" s="77"/>
      <c r="DG161" s="58"/>
      <c r="DL161" s="54"/>
      <c r="DM161" s="86"/>
      <c r="DN161" s="54"/>
      <c r="DO161" s="54"/>
      <c r="DP161" s="54"/>
      <c r="DQ161" s="54"/>
      <c r="DR161" s="54"/>
      <c r="DS161" s="54"/>
      <c r="DT161" s="154"/>
      <c r="DU161" s="20"/>
      <c r="DV161" s="187"/>
      <c r="DW161" s="170"/>
      <c r="DX161" s="93"/>
      <c r="DY161" s="94"/>
      <c r="DZ161" s="93"/>
      <c r="EA161" s="123"/>
      <c r="EB161" s="184"/>
      <c r="EC161" s="96"/>
      <c r="ED161" s="54">
        <f t="shared" si="42"/>
        <v>102</v>
      </c>
      <c r="EE161" s="54" t="s">
        <v>530</v>
      </c>
      <c r="EF161" s="54" t="s">
        <v>583</v>
      </c>
      <c r="EG161" s="188" t="s">
        <v>562</v>
      </c>
      <c r="EH161" s="86"/>
      <c r="EI161" s="54">
        <v>579.39</v>
      </c>
      <c r="EJ161" s="54"/>
      <c r="EK161" s="54"/>
      <c r="EL161" s="176">
        <v>301.35675324675333</v>
      </c>
      <c r="EM161" s="176">
        <f t="shared" si="41"/>
        <v>880.74675324675331</v>
      </c>
      <c r="EN161" s="176">
        <v>204.53293189587168</v>
      </c>
      <c r="EO161" s="123">
        <f>EM161*EI176</f>
        <v>12.011119465329999</v>
      </c>
      <c r="EP161" s="123">
        <f>EM161*EI177</f>
        <v>1.2237744360902263</v>
      </c>
      <c r="EQ161" s="123">
        <f>EM161*EL176</f>
        <v>11.750500835421894</v>
      </c>
      <c r="ER161" s="123">
        <f>EM161*EL177</f>
        <v>14.186718462823732</v>
      </c>
    </row>
    <row r="162" spans="3:148" ht="24.95" customHeight="1" x14ac:dyDescent="0.25">
      <c r="L162" s="48"/>
      <c r="M162" s="60"/>
      <c r="DF162" s="77"/>
      <c r="DG162" s="58"/>
      <c r="DL162" s="54"/>
      <c r="DM162" s="86"/>
      <c r="DN162" s="54"/>
      <c r="DO162" s="54"/>
      <c r="DP162" s="54"/>
      <c r="DQ162" s="54"/>
      <c r="DR162" s="54"/>
      <c r="DS162" s="54"/>
      <c r="DT162" s="154"/>
      <c r="DU162" s="20"/>
      <c r="DV162" s="187"/>
      <c r="DW162" s="170"/>
      <c r="DX162" s="93"/>
      <c r="DY162" s="94"/>
      <c r="DZ162" s="93"/>
      <c r="EA162" s="123"/>
      <c r="EB162" s="184"/>
      <c r="EC162" s="96"/>
      <c r="ED162" s="54">
        <f t="shared" si="42"/>
        <v>103</v>
      </c>
      <c r="EE162" s="54" t="s">
        <v>530</v>
      </c>
      <c r="EF162" s="54" t="s">
        <v>581</v>
      </c>
      <c r="EG162" s="188" t="s">
        <v>525</v>
      </c>
      <c r="EH162" s="86"/>
      <c r="EI162" s="54">
        <v>520.11</v>
      </c>
      <c r="EJ162" s="54"/>
      <c r="EK162" s="54"/>
      <c r="EL162" s="176">
        <v>287.87051948051965</v>
      </c>
      <c r="EM162" s="176">
        <f t="shared" si="41"/>
        <v>807.98051948051966</v>
      </c>
      <c r="EN162" s="176">
        <v>187.63954733105444</v>
      </c>
      <c r="EO162" s="123">
        <f>EM162*EI176</f>
        <v>11.018775271512121</v>
      </c>
      <c r="EP162" s="123">
        <f>EM162*EI177</f>
        <v>1.1226676691729331</v>
      </c>
      <c r="EQ162" s="123">
        <f>EM162*EL176</f>
        <v>10.77968863826233</v>
      </c>
      <c r="ER162" s="123">
        <f>EM162*EL177</f>
        <v>13.014628905597334</v>
      </c>
    </row>
    <row r="163" spans="3:148" ht="24.95" customHeight="1" x14ac:dyDescent="0.25">
      <c r="L163" s="48"/>
      <c r="M163" s="60"/>
      <c r="DF163" s="77"/>
      <c r="DG163" s="58"/>
      <c r="DL163" s="54"/>
      <c r="DM163" s="86"/>
      <c r="DN163" s="54"/>
      <c r="DO163" s="54"/>
      <c r="DP163" s="54"/>
      <c r="DQ163" s="54"/>
      <c r="DR163" s="54"/>
      <c r="DS163" s="54"/>
      <c r="DT163" s="154"/>
      <c r="DU163" s="20"/>
      <c r="DV163" s="187"/>
      <c r="DW163" s="170"/>
      <c r="DX163" s="93"/>
      <c r="DY163" s="94"/>
      <c r="DZ163" s="93"/>
      <c r="EA163" s="123"/>
      <c r="EB163" s="184"/>
      <c r="EC163" s="96"/>
      <c r="ED163" s="54">
        <f t="shared" si="42"/>
        <v>104</v>
      </c>
      <c r="EE163" s="54" t="s">
        <v>530</v>
      </c>
      <c r="EF163" s="54" t="s">
        <v>581</v>
      </c>
      <c r="EG163" s="188" t="s">
        <v>526</v>
      </c>
      <c r="EH163" s="86"/>
      <c r="EI163" s="54">
        <v>574.45000000000005</v>
      </c>
      <c r="EJ163" s="54"/>
      <c r="EK163" s="54"/>
      <c r="EL163" s="176">
        <v>307.08896103896109</v>
      </c>
      <c r="EM163" s="176">
        <f t="shared" si="41"/>
        <v>881.53896103896113</v>
      </c>
      <c r="EN163" s="176">
        <v>204.72710872995003</v>
      </c>
      <c r="EO163" s="123">
        <f>EM163*EI176</f>
        <v>12.021923141186306</v>
      </c>
      <c r="EP163" s="123">
        <f>EM163*EI177</f>
        <v>1.2248751879699256</v>
      </c>
      <c r="EQ163" s="123">
        <f>EM163*EL176</f>
        <v>11.761070091896414</v>
      </c>
      <c r="ER163" s="123">
        <f>EM163*EL177</f>
        <v>14.199479030910616</v>
      </c>
    </row>
    <row r="164" spans="3:148" ht="24.95" customHeight="1" x14ac:dyDescent="0.25">
      <c r="L164" s="48"/>
      <c r="M164" s="60"/>
      <c r="DF164" s="77"/>
      <c r="DG164" s="58"/>
      <c r="DL164" s="54"/>
      <c r="DM164" s="86"/>
      <c r="DN164" s="54"/>
      <c r="DO164" s="54"/>
      <c r="DP164" s="54"/>
      <c r="DQ164" s="54"/>
      <c r="DR164" s="54"/>
      <c r="DS164" s="54"/>
      <c r="DT164" s="154"/>
      <c r="DU164" s="20"/>
      <c r="DV164" s="187"/>
      <c r="DW164" s="170"/>
      <c r="DX164" s="93"/>
      <c r="DY164" s="94"/>
      <c r="DZ164" s="93"/>
      <c r="EA164" s="123"/>
      <c r="EB164" s="184"/>
      <c r="EC164" s="96"/>
      <c r="ED164" s="54">
        <f t="shared" si="42"/>
        <v>105</v>
      </c>
      <c r="EE164" s="54" t="s">
        <v>530</v>
      </c>
      <c r="EF164" s="54" t="s">
        <v>581</v>
      </c>
      <c r="EG164" s="188" t="s">
        <v>527</v>
      </c>
      <c r="EH164" s="86"/>
      <c r="EI164" s="93">
        <v>536.5</v>
      </c>
      <c r="EJ164" s="54"/>
      <c r="EK164" s="54"/>
      <c r="EL164" s="176">
        <v>289.4545454545455</v>
      </c>
      <c r="EM164" s="176">
        <f t="shared" si="41"/>
        <v>825.9545454545455</v>
      </c>
      <c r="EN164" s="176">
        <v>191.8251368656324</v>
      </c>
      <c r="EO164" s="123">
        <f>EM164*EI176</f>
        <v>11.263894736842111</v>
      </c>
      <c r="EP164" s="123">
        <f>EM164*EI177</f>
        <v>1.1476421052631585</v>
      </c>
      <c r="EQ164" s="123">
        <f>EM164*EL176</f>
        <v>11.019489473684215</v>
      </c>
      <c r="ER164" s="123">
        <f>EM164*EL177</f>
        <v>13.304147368421058</v>
      </c>
    </row>
    <row r="165" spans="3:148" ht="24.95" customHeight="1" x14ac:dyDescent="0.25">
      <c r="L165" s="48"/>
      <c r="M165" s="60"/>
      <c r="DF165" s="77"/>
      <c r="DG165" s="58"/>
      <c r="DL165" s="54"/>
      <c r="DM165" s="86"/>
      <c r="DN165" s="54"/>
      <c r="DO165" s="54"/>
      <c r="DP165" s="54"/>
      <c r="DQ165" s="54"/>
      <c r="DR165" s="54"/>
      <c r="DS165" s="54"/>
      <c r="DT165" s="154"/>
      <c r="DU165" s="20"/>
      <c r="DV165" s="187"/>
      <c r="DW165" s="170"/>
      <c r="DX165" s="93"/>
      <c r="DY165" s="94"/>
      <c r="DZ165" s="93"/>
      <c r="EA165" s="123"/>
      <c r="EB165" s="184"/>
      <c r="EC165" s="96"/>
      <c r="ED165" s="54">
        <f t="shared" si="42"/>
        <v>106</v>
      </c>
      <c r="EE165" s="54" t="s">
        <v>530</v>
      </c>
      <c r="EF165" s="54" t="s">
        <v>581</v>
      </c>
      <c r="EG165" s="188" t="s">
        <v>528</v>
      </c>
      <c r="EH165" s="86"/>
      <c r="EI165" s="54">
        <v>579.39</v>
      </c>
      <c r="EJ165" s="54"/>
      <c r="EK165" s="54"/>
      <c r="EL165" s="176">
        <v>301.35675324675333</v>
      </c>
      <c r="EM165" s="176">
        <f t="shared" si="41"/>
        <v>880.74675324675331</v>
      </c>
      <c r="EN165" s="176">
        <v>204.53293189587168</v>
      </c>
      <c r="EO165" s="123">
        <f>EM165*EI176</f>
        <v>12.011119465329999</v>
      </c>
      <c r="EP165" s="123">
        <f>EM165*EI177</f>
        <v>1.2237744360902263</v>
      </c>
      <c r="EQ165" s="123">
        <f>EM165*EL176</f>
        <v>11.750500835421894</v>
      </c>
      <c r="ER165" s="123">
        <f>EM165*EL177</f>
        <v>14.186718462823732</v>
      </c>
    </row>
    <row r="166" spans="3:148" ht="24.95" customHeight="1" x14ac:dyDescent="0.25">
      <c r="L166" s="48"/>
      <c r="M166" s="60"/>
      <c r="DF166" s="77"/>
      <c r="DG166" s="58"/>
      <c r="DL166" s="54"/>
      <c r="DM166" s="86"/>
      <c r="DN166" s="54"/>
      <c r="DO166" s="54"/>
      <c r="DP166" s="54"/>
      <c r="DQ166" s="54"/>
      <c r="DR166" s="54"/>
      <c r="DS166" s="54"/>
      <c r="DT166" s="154"/>
      <c r="DU166" s="20"/>
      <c r="DV166" s="187"/>
      <c r="DW166" s="170"/>
      <c r="DX166" s="93"/>
      <c r="DY166" s="94"/>
      <c r="DZ166" s="93"/>
      <c r="EA166" s="123"/>
      <c r="EB166" s="184"/>
      <c r="EC166" s="96"/>
      <c r="ED166" s="54"/>
      <c r="EF166" s="56"/>
      <c r="EG166" s="56"/>
      <c r="EH166" s="54"/>
      <c r="EI166" s="222">
        <f>SUM(EI60:EI165)</f>
        <v>50830.57</v>
      </c>
      <c r="EJ166" s="54"/>
      <c r="EK166" s="54"/>
      <c r="EL166" s="262">
        <f t="shared" ref="EL166:EQ166" si="43">SUM(EL60:EL165)</f>
        <v>26896.702727272732</v>
      </c>
      <c r="EM166" s="262">
        <f t="shared" si="43"/>
        <v>77727.272727272692</v>
      </c>
      <c r="EN166" s="262">
        <f t="shared" si="43"/>
        <v>18051.109999999993</v>
      </c>
      <c r="EO166" s="247">
        <f t="shared" si="43"/>
        <v>1060.0000000000007</v>
      </c>
      <c r="EP166" s="247">
        <f t="shared" si="43"/>
        <v>111.21133233082713</v>
      </c>
      <c r="EQ166" s="156">
        <f t="shared" si="43"/>
        <v>1037.0000000000005</v>
      </c>
      <c r="ER166" s="156">
        <f>SUM(ER60:ER165)</f>
        <v>1251.7845346700085</v>
      </c>
    </row>
    <row r="167" spans="3:148" s="101" customFormat="1" ht="24.95" customHeight="1" x14ac:dyDescent="0.25">
      <c r="C167" s="40"/>
      <c r="F167" s="40"/>
      <c r="I167" s="40"/>
      <c r="K167" s="223"/>
      <c r="L167" s="239"/>
      <c r="M167" s="286"/>
      <c r="AD167" s="40"/>
      <c r="AG167" s="40"/>
      <c r="AJ167" s="40"/>
      <c r="AM167" s="40"/>
      <c r="AP167" s="40"/>
      <c r="AS167" s="40"/>
      <c r="AV167" s="40"/>
      <c r="AY167" s="40"/>
      <c r="BB167" s="40"/>
      <c r="BE167" s="40"/>
      <c r="BH167" s="40"/>
      <c r="BK167" s="40"/>
      <c r="BN167" s="40"/>
      <c r="BQ167" s="40"/>
      <c r="BT167" s="40"/>
      <c r="BW167" s="40"/>
      <c r="BZ167" s="40"/>
      <c r="CC167" s="40"/>
      <c r="CF167" s="40"/>
      <c r="CI167" s="40"/>
      <c r="CL167" s="40"/>
      <c r="CO167" s="40"/>
      <c r="CR167" s="40"/>
      <c r="CU167" s="40"/>
      <c r="CX167" s="40"/>
      <c r="DA167" s="40"/>
      <c r="DD167" s="40"/>
      <c r="DF167" s="47"/>
      <c r="DG167" s="95"/>
      <c r="DH167" s="40"/>
      <c r="DI167" s="40"/>
      <c r="DJ167" s="40"/>
      <c r="DL167" s="54"/>
      <c r="DM167" s="86"/>
      <c r="DN167" s="54"/>
      <c r="DO167" s="54"/>
      <c r="DP167" s="54"/>
      <c r="DQ167" s="54"/>
      <c r="DR167" s="54"/>
      <c r="DS167" s="54"/>
      <c r="DT167" s="154"/>
      <c r="DU167" s="20"/>
      <c r="DV167" s="187"/>
      <c r="DW167" s="170"/>
      <c r="DX167" s="93"/>
      <c r="DY167" s="94"/>
      <c r="DZ167" s="93"/>
      <c r="EA167" s="123"/>
      <c r="EB167" s="184"/>
      <c r="EC167" s="96"/>
      <c r="EE167" s="54"/>
      <c r="EF167" s="54"/>
      <c r="EG167" s="54"/>
      <c r="EH167" s="54"/>
      <c r="EI167" s="54"/>
      <c r="EJ167" s="54"/>
      <c r="EK167" s="54"/>
      <c r="EL167" s="252"/>
      <c r="EM167" s="252"/>
      <c r="EN167" s="252"/>
      <c r="EO167" s="54"/>
      <c r="EP167" s="54"/>
      <c r="EQ167" s="123"/>
      <c r="ER167" s="123"/>
    </row>
    <row r="168" spans="3:148" ht="24.95" hidden="1" customHeight="1" x14ac:dyDescent="0.3">
      <c r="L168" s="48"/>
      <c r="M168" s="60"/>
      <c r="DF168" s="77"/>
      <c r="DG168" s="58"/>
      <c r="DL168" s="54"/>
      <c r="DM168" s="86"/>
      <c r="DN168" s="54"/>
      <c r="DO168" s="54"/>
      <c r="DP168" s="54"/>
      <c r="DQ168" s="54"/>
      <c r="DR168" s="54"/>
      <c r="DS168" s="54"/>
      <c r="DT168" s="154"/>
      <c r="DU168" s="20"/>
      <c r="DV168" s="187"/>
      <c r="DW168" s="170"/>
      <c r="DX168" s="93"/>
      <c r="DY168" s="94"/>
      <c r="DZ168" s="93"/>
      <c r="EA168" s="123"/>
      <c r="EB168" s="184"/>
      <c r="EC168" s="96"/>
      <c r="ED168" s="314" t="s">
        <v>563</v>
      </c>
      <c r="EE168" s="315"/>
      <c r="EF168" s="315"/>
      <c r="EG168" s="315"/>
      <c r="EH168" s="315"/>
      <c r="EI168" s="315"/>
      <c r="EJ168" s="315"/>
      <c r="EK168" s="315"/>
      <c r="EL168" s="315"/>
      <c r="EM168" s="315"/>
      <c r="EN168" s="315"/>
      <c r="EO168" s="315"/>
      <c r="EP168" s="316"/>
    </row>
    <row r="169" spans="3:148" ht="24.95" hidden="1" customHeight="1" x14ac:dyDescent="0.25">
      <c r="L169" s="48"/>
      <c r="M169" s="60"/>
      <c r="DF169" s="77"/>
      <c r="DG169" s="58"/>
      <c r="DL169" s="54"/>
      <c r="DM169" s="86"/>
      <c r="DN169" s="54"/>
      <c r="DO169" s="54"/>
      <c r="DP169" s="54"/>
      <c r="DQ169" s="54"/>
      <c r="DR169" s="54"/>
      <c r="DS169" s="54"/>
      <c r="DT169" s="154"/>
      <c r="DU169" s="20"/>
      <c r="DV169" s="187"/>
      <c r="DW169" s="170"/>
      <c r="DX169" s="93"/>
      <c r="DY169" s="94"/>
      <c r="DZ169" s="93"/>
      <c r="EA169" s="123"/>
      <c r="EB169" s="184"/>
      <c r="EC169" s="96"/>
      <c r="ED169" s="56"/>
      <c r="EE169" s="241" t="s">
        <v>574</v>
      </c>
      <c r="EF169" s="241" t="s">
        <v>572</v>
      </c>
      <c r="EG169" s="241" t="s">
        <v>573</v>
      </c>
      <c r="EH169" s="243"/>
      <c r="EI169" s="243"/>
      <c r="EJ169" s="243" t="s">
        <v>578</v>
      </c>
      <c r="EK169" s="243" t="s">
        <v>579</v>
      </c>
      <c r="EL169" s="252"/>
      <c r="EM169" s="252"/>
      <c r="EN169" s="252"/>
      <c r="EO169" s="54"/>
      <c r="EP169" s="123">
        <f>EP166+EO166</f>
        <v>1171.2113323308279</v>
      </c>
      <c r="ER169" s="178">
        <f>ER166+EQ166</f>
        <v>2288.7845346700087</v>
      </c>
    </row>
    <row r="170" spans="3:148" ht="24.95" hidden="1" customHeight="1" x14ac:dyDescent="0.25">
      <c r="L170" s="48"/>
      <c r="M170" s="60"/>
      <c r="DF170" s="77"/>
      <c r="DG170" s="58"/>
      <c r="DL170" s="54"/>
      <c r="DM170" s="86"/>
      <c r="DN170" s="54"/>
      <c r="DO170" s="54"/>
      <c r="DP170" s="54"/>
      <c r="DQ170" s="54"/>
      <c r="DR170" s="54"/>
      <c r="DS170" s="54"/>
      <c r="DT170" s="154"/>
      <c r="DU170" s="20"/>
      <c r="DV170" s="187"/>
      <c r="DW170" s="170"/>
      <c r="DX170" s="93"/>
      <c r="DY170" s="94"/>
      <c r="DZ170" s="93"/>
      <c r="EA170" s="123"/>
      <c r="EB170" s="184"/>
      <c r="EC170" s="96"/>
      <c r="ED170" s="56"/>
      <c r="EE170" s="242" t="s">
        <v>564</v>
      </c>
      <c r="EF170" s="242">
        <v>281</v>
      </c>
      <c r="EG170" s="242"/>
      <c r="EH170" s="254" t="s">
        <v>570</v>
      </c>
      <c r="EI170" s="254">
        <v>1060</v>
      </c>
      <c r="EJ170" s="54">
        <v>655</v>
      </c>
      <c r="EK170" s="54"/>
      <c r="EL170" s="252"/>
      <c r="EM170" s="252"/>
      <c r="EN170" s="252"/>
      <c r="EO170" s="54"/>
      <c r="EP170" s="54"/>
    </row>
    <row r="171" spans="3:148" ht="24.95" hidden="1" customHeight="1" x14ac:dyDescent="0.25">
      <c r="L171" s="48"/>
      <c r="M171" s="60"/>
      <c r="DF171" s="77"/>
      <c r="DG171" s="58"/>
      <c r="DL171" s="54"/>
      <c r="DM171" s="86"/>
      <c r="DN171" s="54"/>
      <c r="DO171" s="54"/>
      <c r="DP171" s="54"/>
      <c r="DQ171" s="54"/>
      <c r="DR171" s="54"/>
      <c r="DS171" s="54"/>
      <c r="DT171" s="154"/>
      <c r="DU171" s="20"/>
      <c r="DV171" s="187"/>
      <c r="DW171" s="170"/>
      <c r="DX171" s="93"/>
      <c r="DY171" s="94"/>
      <c r="DZ171" s="93"/>
      <c r="EA171" s="123"/>
      <c r="EB171" s="184"/>
      <c r="EC171" s="96"/>
      <c r="ED171" s="56"/>
      <c r="EE171" s="242" t="s">
        <v>565</v>
      </c>
      <c r="EF171" s="242">
        <v>219</v>
      </c>
      <c r="EG171" s="242">
        <v>4</v>
      </c>
      <c r="EH171" s="254" t="s">
        <v>571</v>
      </c>
      <c r="EI171" s="254">
        <v>108</v>
      </c>
      <c r="EJ171" s="54">
        <v>351</v>
      </c>
      <c r="EK171" s="54"/>
      <c r="EL171" s="252"/>
      <c r="EM171" s="252"/>
      <c r="EN171" s="252"/>
      <c r="EO171" s="54"/>
      <c r="EP171" s="54"/>
    </row>
    <row r="172" spans="3:148" ht="24.95" hidden="1" customHeight="1" x14ac:dyDescent="0.25">
      <c r="L172" s="48"/>
      <c r="M172" s="60"/>
      <c r="DF172" s="77"/>
      <c r="DG172" s="58"/>
      <c r="DL172" s="54"/>
      <c r="DM172" s="86"/>
      <c r="DN172" s="54"/>
      <c r="DO172" s="54"/>
      <c r="DP172" s="54"/>
      <c r="DQ172" s="54"/>
      <c r="DR172" s="54"/>
      <c r="DS172" s="54"/>
      <c r="DT172" s="154"/>
      <c r="DU172" s="20"/>
      <c r="DV172" s="187"/>
      <c r="DW172" s="170"/>
      <c r="DX172" s="93"/>
      <c r="DY172" s="94"/>
      <c r="DZ172" s="93"/>
      <c r="EA172" s="123"/>
      <c r="EB172" s="184"/>
      <c r="EC172" s="96"/>
      <c r="ED172" s="56"/>
      <c r="EE172" s="242" t="s">
        <v>566</v>
      </c>
      <c r="EF172" s="242">
        <v>120</v>
      </c>
      <c r="EG172" s="242">
        <v>430</v>
      </c>
      <c r="EH172" s="243"/>
      <c r="EI172" s="243"/>
      <c r="EK172" s="54">
        <v>818</v>
      </c>
      <c r="EL172" s="252"/>
      <c r="EM172" s="252"/>
      <c r="EN172" s="252"/>
      <c r="EO172" s="54"/>
      <c r="EP172" s="54"/>
    </row>
    <row r="173" spans="3:148" ht="24.95" hidden="1" customHeight="1" x14ac:dyDescent="0.25">
      <c r="L173" s="48"/>
      <c r="M173" s="60"/>
      <c r="DF173" s="77"/>
      <c r="DG173" s="58"/>
      <c r="DL173" s="54"/>
      <c r="DM173" s="86"/>
      <c r="DN173" s="54"/>
      <c r="DO173" s="54"/>
      <c r="DP173" s="54"/>
      <c r="DQ173" s="54"/>
      <c r="DR173" s="54"/>
      <c r="DS173" s="54"/>
      <c r="DT173" s="154"/>
      <c r="DU173" s="20"/>
      <c r="DV173" s="187"/>
      <c r="DW173" s="170"/>
      <c r="DX173" s="93"/>
      <c r="DY173" s="94"/>
      <c r="DZ173" s="93"/>
      <c r="EA173" s="123"/>
      <c r="EB173" s="184"/>
      <c r="EC173" s="96"/>
      <c r="ED173" s="56"/>
      <c r="EE173" s="242" t="s">
        <v>567</v>
      </c>
      <c r="EF173" s="242" t="s">
        <v>575</v>
      </c>
      <c r="EG173" s="242">
        <v>114</v>
      </c>
      <c r="EH173" s="243"/>
      <c r="EI173" s="243"/>
      <c r="EJ173" s="40">
        <v>31</v>
      </c>
      <c r="EK173" s="54">
        <f>(465-31)</f>
        <v>434</v>
      </c>
      <c r="EL173" s="252"/>
      <c r="EM173" s="264"/>
      <c r="EN173" s="252"/>
      <c r="EO173" s="54"/>
      <c r="EP173" s="54"/>
    </row>
    <row r="174" spans="3:148" ht="24.95" hidden="1" customHeight="1" x14ac:dyDescent="0.25">
      <c r="L174" s="48"/>
      <c r="M174" s="60"/>
      <c r="DF174" s="77"/>
      <c r="DG174" s="58"/>
      <c r="DL174" s="54"/>
      <c r="DM174" s="86"/>
      <c r="DN174" s="54"/>
      <c r="DO174" s="54"/>
      <c r="DP174" s="54"/>
      <c r="DQ174" s="54"/>
      <c r="DR174" s="54"/>
      <c r="DS174" s="54"/>
      <c r="DT174" s="154"/>
      <c r="DU174" s="20"/>
      <c r="DV174" s="187"/>
      <c r="DW174" s="170"/>
      <c r="DX174" s="93"/>
      <c r="DY174" s="94"/>
      <c r="DZ174" s="93"/>
      <c r="EA174" s="123"/>
      <c r="EB174" s="184"/>
      <c r="EC174" s="96"/>
      <c r="ED174" s="56"/>
      <c r="EE174" s="242"/>
      <c r="EF174" s="241">
        <f>SUM(EF170:EF173)</f>
        <v>620</v>
      </c>
      <c r="EG174" s="241">
        <f>SUM(EG170:EG173)</f>
        <v>548</v>
      </c>
      <c r="EH174" s="243"/>
      <c r="EI174" s="243"/>
      <c r="EJ174" s="255">
        <f>SUM(EJ170:EJ173)</f>
        <v>1037</v>
      </c>
      <c r="EK174" s="255">
        <f>SUM(EK172:EK173)</f>
        <v>1252</v>
      </c>
      <c r="EL174" s="252"/>
      <c r="EM174" s="252"/>
      <c r="EN174" s="252"/>
      <c r="EO174" s="54"/>
      <c r="EP174" s="54"/>
    </row>
    <row r="175" spans="3:148" ht="24.95" hidden="1" customHeight="1" x14ac:dyDescent="0.25">
      <c r="L175" s="48"/>
      <c r="M175" s="60"/>
      <c r="DF175" s="77"/>
      <c r="DG175" s="58"/>
      <c r="DL175" s="54"/>
      <c r="DM175" s="86"/>
      <c r="DN175" s="54"/>
      <c r="DO175" s="54"/>
      <c r="DP175" s="54"/>
      <c r="DQ175" s="54"/>
      <c r="DR175" s="54"/>
      <c r="DS175" s="54"/>
      <c r="DT175" s="154"/>
      <c r="DU175" s="20"/>
      <c r="DV175" s="187"/>
      <c r="DW175" s="170"/>
      <c r="DX175" s="93"/>
      <c r="DY175" s="94"/>
      <c r="DZ175" s="93"/>
      <c r="EA175" s="123"/>
      <c r="EB175" s="184"/>
      <c r="EC175" s="96"/>
      <c r="ED175" s="56"/>
      <c r="EE175" s="241" t="s">
        <v>568</v>
      </c>
      <c r="EF175" s="241">
        <f>EF174+EG174</f>
        <v>1168</v>
      </c>
      <c r="EG175" s="242"/>
      <c r="EH175" s="243"/>
      <c r="EI175" s="245"/>
      <c r="EJ175" s="54"/>
      <c r="EK175" s="54"/>
      <c r="EL175" s="252"/>
      <c r="EM175" s="252"/>
      <c r="EN175" s="252"/>
      <c r="EO175" s="123"/>
      <c r="EP175" s="54"/>
    </row>
    <row r="176" spans="3:148" ht="24.95" hidden="1" customHeight="1" x14ac:dyDescent="0.25">
      <c r="AM176"/>
      <c r="DL176" s="54"/>
      <c r="DM176" s="39" t="s">
        <v>12</v>
      </c>
      <c r="DN176" s="54"/>
      <c r="DO176" s="54"/>
      <c r="DP176" s="54"/>
      <c r="DQ176" s="54"/>
      <c r="DR176" s="54"/>
      <c r="DS176" s="54"/>
      <c r="DT176" s="154"/>
      <c r="DU176" s="186"/>
      <c r="DV176" s="187"/>
      <c r="DW176" s="170"/>
      <c r="DX176" s="93"/>
      <c r="DY176" s="94"/>
      <c r="DZ176" s="93"/>
      <c r="EA176" s="208" t="e">
        <f>SUM(EA118:EA175)</f>
        <v>#REF!</v>
      </c>
      <c r="EB176" s="185"/>
      <c r="EC176" s="96">
        <f t="shared" si="16"/>
        <v>0</v>
      </c>
      <c r="ED176" s="56"/>
      <c r="EE176" s="241" t="s">
        <v>569</v>
      </c>
      <c r="EF176" s="244">
        <f>EM166</f>
        <v>77727.272727272692</v>
      </c>
      <c r="EG176" s="312" t="s">
        <v>576</v>
      </c>
      <c r="EH176" s="313"/>
      <c r="EI176" s="246">
        <f>EI170/EF176</f>
        <v>1.3637426900584802E-2</v>
      </c>
      <c r="EJ176" s="35"/>
      <c r="EK176" s="54"/>
      <c r="EL176" s="263">
        <f>EJ174/EF176</f>
        <v>1.3341520467836264E-2</v>
      </c>
      <c r="EM176" s="252">
        <f>EF176*EL176</f>
        <v>1037</v>
      </c>
      <c r="EN176" s="252"/>
      <c r="EO176" s="54"/>
      <c r="EP176" s="54"/>
    </row>
    <row r="177" spans="12:146" ht="24.95" hidden="1" customHeight="1" x14ac:dyDescent="0.25">
      <c r="L177" s="98" t="s">
        <v>29</v>
      </c>
      <c r="M177" s="99">
        <v>327.45999999999998</v>
      </c>
      <c r="AG177"/>
      <c r="DL177" s="54"/>
      <c r="DM177" s="39" t="s">
        <v>337</v>
      </c>
      <c r="DN177" s="54"/>
      <c r="DO177" s="54"/>
      <c r="DP177" s="54"/>
      <c r="DQ177" s="54"/>
      <c r="DR177" s="54"/>
      <c r="DS177" s="54"/>
      <c r="DT177" s="154"/>
      <c r="DU177" s="186"/>
      <c r="DV177" s="187"/>
      <c r="DW177" s="170"/>
      <c r="DX177" s="93"/>
      <c r="DY177" s="94"/>
      <c r="DZ177" s="93"/>
      <c r="EA177" s="86"/>
      <c r="EB177" s="185"/>
      <c r="EC177" s="96">
        <f t="shared" si="16"/>
        <v>0</v>
      </c>
      <c r="ED177" s="56"/>
      <c r="EE177" s="56"/>
      <c r="EF177" s="56"/>
      <c r="EG177" s="312" t="s">
        <v>577</v>
      </c>
      <c r="EH177" s="313"/>
      <c r="EI177" s="54">
        <f>EI171/EF176</f>
        <v>1.389473684210527E-3</v>
      </c>
      <c r="EJ177" s="54"/>
      <c r="EK177" s="54"/>
      <c r="EL177" s="263">
        <f>EK174/EF176</f>
        <v>1.6107602339181293E-2</v>
      </c>
      <c r="EM177" s="252"/>
      <c r="EN177" s="252"/>
      <c r="EO177" s="54"/>
      <c r="EP177" s="54"/>
    </row>
    <row r="178" spans="12:146" ht="24.95" hidden="1" customHeight="1" x14ac:dyDescent="0.25">
      <c r="L178" s="11" t="s">
        <v>28</v>
      </c>
      <c r="M178" s="12">
        <f>506.42-0.09</f>
        <v>506.33000000000004</v>
      </c>
      <c r="AD178"/>
      <c r="DL178" s="54">
        <v>37</v>
      </c>
      <c r="DM178" s="188" t="s">
        <v>338</v>
      </c>
      <c r="DN178" s="54">
        <f>3859.21-1030.56</f>
        <v>2828.65</v>
      </c>
      <c r="DO178" s="54">
        <f>DO118</f>
        <v>208.39</v>
      </c>
      <c r="DP178" s="54">
        <f>DP118</f>
        <v>18.39</v>
      </c>
      <c r="DQ178" s="54"/>
      <c r="DR178" s="54">
        <f>DR118</f>
        <v>134.99</v>
      </c>
      <c r="DS178" s="54">
        <f>DN178+DO178+DP178+DQ178+DR178</f>
        <v>3190.42</v>
      </c>
      <c r="DT178" s="154" t="e">
        <f>#REF!</f>
        <v>#REF!</v>
      </c>
      <c r="DU178" s="20">
        <f>BH56/2</f>
        <v>60.88</v>
      </c>
      <c r="DV178" s="187">
        <f>BH51/4</f>
        <v>6.0600000000000005</v>
      </c>
      <c r="DW178" s="170">
        <f>BH31</f>
        <v>37.82</v>
      </c>
      <c r="DX178" s="93" t="e">
        <f>DT178+DU178+DV178+DW178</f>
        <v>#REF!</v>
      </c>
      <c r="DY178" s="94" t="e">
        <f t="shared" si="20"/>
        <v>#REF!</v>
      </c>
      <c r="DZ178" s="93" t="e">
        <f t="shared" si="21"/>
        <v>#REF!</v>
      </c>
      <c r="EA178" s="123" t="e">
        <f t="shared" ref="EA178:EA181" si="44">ROUND(DZ178*10.764/1,0)*1</f>
        <v>#REF!</v>
      </c>
      <c r="EB178" s="184" t="e">
        <f t="shared" ref="EB178:EB181" si="45">(EA178*$ED$54)/$EC$54</f>
        <v>#REF!</v>
      </c>
      <c r="EC178" s="96" t="e">
        <f t="shared" si="16"/>
        <v>#REF!</v>
      </c>
      <c r="ED178" s="248"/>
      <c r="EE178" s="249" t="s">
        <v>564</v>
      </c>
      <c r="EF178" s="249">
        <v>281</v>
      </c>
      <c r="EG178" s="249"/>
      <c r="EH178" s="250" t="s">
        <v>570</v>
      </c>
      <c r="EI178" s="250">
        <v>1060</v>
      </c>
      <c r="EJ178" s="251"/>
    </row>
    <row r="179" spans="12:146" ht="24.95" hidden="1" customHeight="1" x14ac:dyDescent="0.25">
      <c r="L179" s="98" t="s">
        <v>30</v>
      </c>
      <c r="M179" s="99">
        <v>297.62</v>
      </c>
      <c r="AJ179"/>
      <c r="AP179"/>
      <c r="AS179"/>
      <c r="AV179"/>
      <c r="AY179"/>
      <c r="BB179"/>
      <c r="BE179"/>
      <c r="BH179"/>
      <c r="BK179"/>
      <c r="BN179"/>
      <c r="BQ179"/>
      <c r="BT179"/>
      <c r="BW179"/>
      <c r="BZ179"/>
      <c r="CC179"/>
      <c r="CF179"/>
      <c r="CI179"/>
      <c r="CL179"/>
      <c r="CO179"/>
      <c r="CR179"/>
      <c r="CU179"/>
      <c r="CX179"/>
      <c r="DA179"/>
      <c r="DD179"/>
      <c r="DL179" s="54">
        <v>38</v>
      </c>
      <c r="DM179" s="188" t="s">
        <v>339</v>
      </c>
      <c r="DN179" s="54"/>
      <c r="DO179" s="54"/>
      <c r="DP179" s="54"/>
      <c r="DQ179" s="54"/>
      <c r="DR179" s="54"/>
      <c r="DS179" s="54"/>
      <c r="DT179" s="154">
        <f>BH65</f>
        <v>614.72</v>
      </c>
      <c r="DU179" s="20">
        <f>DU178</f>
        <v>60.88</v>
      </c>
      <c r="DV179" s="187">
        <f>BH51/4</f>
        <v>6.0600000000000005</v>
      </c>
      <c r="DW179" s="170">
        <f>BH33</f>
        <v>37.82</v>
      </c>
      <c r="DX179" s="93">
        <f>DT179+DU179+DV179+DW179</f>
        <v>719.48</v>
      </c>
      <c r="DY179" s="94">
        <f t="shared" si="20"/>
        <v>239.82666666666668</v>
      </c>
      <c r="DZ179" s="93">
        <f t="shared" si="21"/>
        <v>959.30666666666673</v>
      </c>
      <c r="EA179" s="123">
        <f t="shared" si="44"/>
        <v>10326</v>
      </c>
      <c r="EB179" s="184" t="e">
        <f t="shared" si="45"/>
        <v>#REF!</v>
      </c>
      <c r="EC179" s="96" t="e">
        <f t="shared" si="16"/>
        <v>#REF!</v>
      </c>
      <c r="ED179" s="56"/>
      <c r="EE179" s="242" t="s">
        <v>565</v>
      </c>
      <c r="EF179" s="242">
        <v>219</v>
      </c>
      <c r="EG179" s="242">
        <v>4</v>
      </c>
      <c r="EH179" s="243" t="s">
        <v>571</v>
      </c>
      <c r="EI179" s="243">
        <v>108</v>
      </c>
      <c r="EJ179" s="54"/>
    </row>
    <row r="180" spans="12:146" ht="24.95" hidden="1" customHeight="1" x14ac:dyDescent="0.25">
      <c r="L180" s="98" t="s">
        <v>31</v>
      </c>
      <c r="M180" s="99">
        <v>331.63</v>
      </c>
      <c r="DH180" s="58"/>
      <c r="DI180" s="58"/>
      <c r="DJ180" s="58"/>
      <c r="DL180" s="54">
        <v>39</v>
      </c>
      <c r="DM180" s="188" t="s">
        <v>340</v>
      </c>
      <c r="DN180" s="54"/>
      <c r="DO180" s="54"/>
      <c r="DP180" s="54"/>
      <c r="DQ180" s="54"/>
      <c r="DR180" s="54"/>
      <c r="DS180" s="54"/>
      <c r="DT180" s="154">
        <f>BH67</f>
        <v>779.03</v>
      </c>
      <c r="DU180" s="186">
        <f>BH58/2</f>
        <v>60.88</v>
      </c>
      <c r="DV180" s="187">
        <f>BH51/4</f>
        <v>6.0600000000000005</v>
      </c>
      <c r="DW180" s="170">
        <f>BH35</f>
        <v>37.82</v>
      </c>
      <c r="DX180" s="93">
        <f>DT180+DU180+DV180+DW180</f>
        <v>883.79</v>
      </c>
      <c r="DY180" s="94">
        <f t="shared" si="20"/>
        <v>294.59666666666664</v>
      </c>
      <c r="DZ180" s="93">
        <f t="shared" si="21"/>
        <v>1178.3866666666665</v>
      </c>
      <c r="EA180" s="123">
        <f t="shared" si="44"/>
        <v>12684</v>
      </c>
      <c r="EB180" s="184" t="e">
        <f t="shared" si="45"/>
        <v>#REF!</v>
      </c>
      <c r="EC180" s="96" t="e">
        <f t="shared" si="16"/>
        <v>#REF!</v>
      </c>
      <c r="ED180" s="56"/>
      <c r="EE180" s="242" t="s">
        <v>566</v>
      </c>
      <c r="EF180" s="242">
        <v>120</v>
      </c>
      <c r="EG180" s="242">
        <v>430</v>
      </c>
      <c r="EH180" s="243"/>
      <c r="EI180" s="243"/>
      <c r="EJ180" s="54"/>
    </row>
    <row r="181" spans="12:146" ht="24.95" hidden="1" customHeight="1" x14ac:dyDescent="0.25">
      <c r="L181" s="98" t="s">
        <v>32</v>
      </c>
      <c r="M181" s="99">
        <v>266.01</v>
      </c>
      <c r="DL181" s="54">
        <v>40</v>
      </c>
      <c r="DM181" s="188" t="s">
        <v>341</v>
      </c>
      <c r="DN181" s="54"/>
      <c r="DO181" s="54"/>
      <c r="DP181" s="54"/>
      <c r="DQ181" s="54"/>
      <c r="DR181" s="54"/>
      <c r="DS181" s="54"/>
      <c r="DT181" s="154" t="e">
        <f>#REF!</f>
        <v>#REF!</v>
      </c>
      <c r="DU181" s="20">
        <f>DU180</f>
        <v>60.88</v>
      </c>
      <c r="DV181" s="187">
        <f>BH51/4</f>
        <v>6.0600000000000005</v>
      </c>
      <c r="DW181" s="170">
        <f>BH37</f>
        <v>37.82</v>
      </c>
      <c r="DX181" s="93" t="e">
        <f>DT181+DU181+DV181+DW181</f>
        <v>#REF!</v>
      </c>
      <c r="DY181" s="94" t="e">
        <f t="shared" si="20"/>
        <v>#REF!</v>
      </c>
      <c r="DZ181" s="93" t="e">
        <f t="shared" si="21"/>
        <v>#REF!</v>
      </c>
      <c r="EA181" s="123" t="e">
        <f t="shared" si="44"/>
        <v>#REF!</v>
      </c>
      <c r="EB181" s="184" t="e">
        <f t="shared" si="45"/>
        <v>#REF!</v>
      </c>
      <c r="EC181" s="96" t="e">
        <f t="shared" si="16"/>
        <v>#REF!</v>
      </c>
      <c r="ED181" s="56"/>
      <c r="EE181" s="242" t="s">
        <v>567</v>
      </c>
      <c r="EF181" s="242" t="s">
        <v>575</v>
      </c>
      <c r="EG181" s="242">
        <v>114</v>
      </c>
      <c r="EH181" s="243"/>
      <c r="EI181" s="243"/>
      <c r="EJ181" s="54"/>
    </row>
    <row r="182" spans="12:146" ht="24.95" hidden="1" customHeight="1" x14ac:dyDescent="0.25">
      <c r="L182" s="11" t="s">
        <v>33</v>
      </c>
      <c r="M182" s="12">
        <v>532.13</v>
      </c>
      <c r="AM182"/>
      <c r="DL182" s="54"/>
      <c r="DM182" s="39" t="s">
        <v>12</v>
      </c>
      <c r="DN182" s="54"/>
      <c r="DO182" s="54"/>
      <c r="DP182" s="54"/>
      <c r="DQ182" s="54"/>
      <c r="DR182" s="54"/>
      <c r="DS182" s="54"/>
      <c r="DT182" s="154"/>
      <c r="DU182" s="186"/>
      <c r="DV182" s="187"/>
      <c r="DW182" s="170"/>
      <c r="DX182" s="93"/>
      <c r="DY182" s="94"/>
      <c r="DZ182" s="93"/>
      <c r="EA182" s="208" t="e">
        <f>SUM(EA178:EA181)</f>
        <v>#REF!</v>
      </c>
      <c r="EB182" s="185"/>
      <c r="EC182" s="96">
        <f t="shared" si="16"/>
        <v>0</v>
      </c>
      <c r="ED182" s="56"/>
      <c r="EE182" s="242"/>
      <c r="EF182" s="241">
        <f>SUM(EF178:EF181)</f>
        <v>620</v>
      </c>
      <c r="EG182" s="241">
        <f>SUM(EG178:EG181)</f>
        <v>548</v>
      </c>
      <c r="EH182" s="243"/>
      <c r="EI182" s="243"/>
      <c r="EJ182" s="54"/>
    </row>
    <row r="183" spans="12:146" ht="24.95" hidden="1" customHeight="1" x14ac:dyDescent="0.25">
      <c r="L183" s="98" t="s">
        <v>34</v>
      </c>
      <c r="M183" s="99">
        <f>534.69-0.09</f>
        <v>534.6</v>
      </c>
      <c r="AG183"/>
      <c r="DL183" s="54"/>
      <c r="DM183" s="39" t="s">
        <v>342</v>
      </c>
      <c r="DN183" s="54"/>
      <c r="DO183" s="54"/>
      <c r="DP183" s="54"/>
      <c r="DQ183" s="54"/>
      <c r="DR183" s="54"/>
      <c r="DS183" s="54"/>
      <c r="DT183" s="154"/>
      <c r="DU183" s="186"/>
      <c r="DV183" s="187"/>
      <c r="DW183" s="170"/>
      <c r="DX183" s="93"/>
      <c r="DY183" s="94"/>
      <c r="DZ183" s="93"/>
      <c r="EA183" s="86"/>
      <c r="EB183" s="185"/>
      <c r="EC183" s="96">
        <f t="shared" si="16"/>
        <v>0</v>
      </c>
      <c r="ED183" s="56"/>
      <c r="EE183" s="241" t="s">
        <v>568</v>
      </c>
      <c r="EF183" s="241">
        <f>EF182+EG182</f>
        <v>1168</v>
      </c>
      <c r="EG183" s="242"/>
      <c r="EH183" s="243"/>
      <c r="EI183" s="245"/>
      <c r="EJ183" s="54"/>
    </row>
    <row r="184" spans="12:146" ht="24.95" hidden="1" customHeight="1" x14ac:dyDescent="0.25">
      <c r="DL184" s="54">
        <v>43</v>
      </c>
      <c r="DM184" s="188" t="s">
        <v>344</v>
      </c>
      <c r="DN184" s="54"/>
      <c r="DO184" s="54"/>
      <c r="DP184" s="54"/>
      <c r="DQ184" s="54"/>
      <c r="DR184" s="54"/>
      <c r="DS184" s="54"/>
      <c r="DT184" s="154">
        <f>BK67</f>
        <v>808.28</v>
      </c>
      <c r="DU184" s="20">
        <f>BK58/2</f>
        <v>60.88</v>
      </c>
      <c r="DV184" s="187">
        <f>BK51/4</f>
        <v>6.0600000000000005</v>
      </c>
      <c r="DW184" s="170">
        <f>BK35</f>
        <v>37.82</v>
      </c>
      <c r="DX184" s="93">
        <f>DT184+DU184+DV184+DW184</f>
        <v>913.04</v>
      </c>
      <c r="DY184" s="94">
        <f t="shared" si="20"/>
        <v>304.34666666666664</v>
      </c>
      <c r="DZ184" s="93">
        <f t="shared" si="21"/>
        <v>1217.3866666666665</v>
      </c>
      <c r="EA184" s="123">
        <f t="shared" ref="EA184:EA185" si="46">ROUND(DZ184*10.764/1,0)*1</f>
        <v>13104</v>
      </c>
      <c r="EB184" s="184" t="e">
        <f t="shared" ref="EB184:EB185" si="47">(EA184*$ED$54)/$EC$54</f>
        <v>#REF!</v>
      </c>
      <c r="EC184" s="96" t="e">
        <f t="shared" si="16"/>
        <v>#REF!</v>
      </c>
      <c r="ED184" s="56"/>
      <c r="EE184" s="241" t="s">
        <v>569</v>
      </c>
      <c r="EF184" s="244">
        <f>EM166</f>
        <v>77727.272727272692</v>
      </c>
      <c r="EG184" s="312" t="s">
        <v>576</v>
      </c>
      <c r="EH184" s="313"/>
      <c r="EI184" s="246">
        <f>EI178/EF184</f>
        <v>1.3637426900584802E-2</v>
      </c>
      <c r="EJ184"/>
    </row>
    <row r="185" spans="12:146" ht="24.95" hidden="1" customHeight="1" x14ac:dyDescent="0.25">
      <c r="DL185" s="54">
        <v>44</v>
      </c>
      <c r="DM185" s="188" t="s">
        <v>345</v>
      </c>
      <c r="DN185" s="54"/>
      <c r="DO185" s="54"/>
      <c r="DP185" s="54"/>
      <c r="DQ185" s="54"/>
      <c r="DR185" s="54"/>
      <c r="DS185" s="54"/>
      <c r="DT185" s="154" t="e">
        <f>#REF!</f>
        <v>#REF!</v>
      </c>
      <c r="DU185" s="20">
        <f>DU184</f>
        <v>60.88</v>
      </c>
      <c r="DV185" s="187">
        <f>BK51/4</f>
        <v>6.0600000000000005</v>
      </c>
      <c r="DW185" s="170">
        <f>BK37</f>
        <v>37.82</v>
      </c>
      <c r="DX185" s="93" t="e">
        <f>DT185+DU185+DV185+DW185</f>
        <v>#REF!</v>
      </c>
      <c r="DY185" s="94" t="e">
        <f t="shared" si="20"/>
        <v>#REF!</v>
      </c>
      <c r="DZ185" s="93" t="e">
        <f t="shared" si="21"/>
        <v>#REF!</v>
      </c>
      <c r="EA185" s="123" t="e">
        <f t="shared" si="46"/>
        <v>#REF!</v>
      </c>
      <c r="EB185" s="184" t="e">
        <f t="shared" si="47"/>
        <v>#REF!</v>
      </c>
      <c r="EC185" s="96" t="e">
        <f t="shared" ref="EC185:EC249" si="48">EB185/10.764</f>
        <v>#REF!</v>
      </c>
      <c r="ED185" s="56"/>
      <c r="EE185" s="287"/>
      <c r="EF185" s="287"/>
      <c r="EG185" s="306" t="s">
        <v>577</v>
      </c>
      <c r="EH185" s="307"/>
      <c r="EI185" s="288">
        <f>EI179/EF184</f>
        <v>1.389473684210527E-3</v>
      </c>
      <c r="EJ185" s="288"/>
    </row>
    <row r="186" spans="12:146" ht="24.95" customHeight="1" x14ac:dyDescent="0.25">
      <c r="DL186" s="54"/>
      <c r="DM186" s="39" t="s">
        <v>12</v>
      </c>
      <c r="DN186" s="54"/>
      <c r="DO186" s="54"/>
      <c r="DP186" s="54"/>
      <c r="DQ186" s="54"/>
      <c r="DR186" s="54"/>
      <c r="DS186" s="54"/>
      <c r="DT186" s="154"/>
      <c r="DU186" s="186"/>
      <c r="DV186" s="187"/>
      <c r="DW186" s="170"/>
      <c r="DX186" s="93"/>
      <c r="DY186" s="94"/>
      <c r="DZ186" s="93"/>
      <c r="EA186" s="208" t="e">
        <f>SUM(EA184:EA185)</f>
        <v>#REF!</v>
      </c>
      <c r="EB186" s="185"/>
      <c r="EC186" s="96">
        <f t="shared" si="48"/>
        <v>0</v>
      </c>
      <c r="ED186" s="56">
        <v>108</v>
      </c>
      <c r="EE186" s="300" t="s">
        <v>586</v>
      </c>
      <c r="EF186" s="300"/>
      <c r="EG186" s="300"/>
      <c r="EH186" s="300"/>
      <c r="EI186" s="300"/>
      <c r="EJ186" s="300"/>
      <c r="EK186" s="300"/>
      <c r="EL186" s="300"/>
      <c r="EM186" s="300"/>
      <c r="EN186" s="37" t="s">
        <v>587</v>
      </c>
      <c r="EO186" s="256"/>
    </row>
    <row r="187" spans="12:146" ht="24.95" customHeight="1" x14ac:dyDescent="0.25">
      <c r="DL187" s="54"/>
      <c r="DM187" s="39" t="s">
        <v>343</v>
      </c>
      <c r="DO187" s="54"/>
      <c r="DP187" s="54"/>
      <c r="DQ187" s="54"/>
      <c r="DR187" s="54"/>
      <c r="DS187" s="54"/>
      <c r="DT187" s="154"/>
      <c r="DU187" s="186"/>
      <c r="DV187" s="187"/>
      <c r="DW187" s="170"/>
      <c r="DX187" s="93"/>
      <c r="DY187" s="94"/>
      <c r="DZ187" s="93"/>
      <c r="EA187" s="86"/>
      <c r="EB187" s="185"/>
      <c r="EC187" s="96">
        <f t="shared" si="48"/>
        <v>0</v>
      </c>
      <c r="ED187" s="56">
        <v>109</v>
      </c>
      <c r="EE187" s="300" t="s">
        <v>588</v>
      </c>
      <c r="EF187" s="300"/>
      <c r="EG187" s="300"/>
      <c r="EH187" s="300"/>
      <c r="EI187" s="300"/>
      <c r="EJ187" s="300"/>
      <c r="EK187" s="300"/>
      <c r="EL187" s="300"/>
      <c r="EM187" s="300"/>
      <c r="EN187" s="37" t="s">
        <v>589</v>
      </c>
      <c r="EP187" s="256"/>
    </row>
    <row r="188" spans="12:146" ht="24.95" customHeight="1" x14ac:dyDescent="0.25">
      <c r="DL188" s="54">
        <v>45</v>
      </c>
      <c r="DM188" s="188" t="s">
        <v>346</v>
      </c>
      <c r="DN188" s="54">
        <v>2943.9</v>
      </c>
      <c r="DO188" s="54" t="e">
        <f>#REF!</f>
        <v>#REF!</v>
      </c>
      <c r="DP188" s="54" t="e">
        <f>#REF!</f>
        <v>#REF!</v>
      </c>
      <c r="DQ188" s="54"/>
      <c r="DR188" s="54" t="e">
        <f>#REF!</f>
        <v>#REF!</v>
      </c>
      <c r="DS188" s="54" t="e">
        <f>DN188+DO188+DP188+DQ188+DR188</f>
        <v>#REF!</v>
      </c>
      <c r="DT188" s="154" t="e">
        <f>#REF!</f>
        <v>#REF!</v>
      </c>
      <c r="DU188" s="20">
        <f>BN56/2</f>
        <v>60.88</v>
      </c>
      <c r="DV188" s="187">
        <f>BN51/4</f>
        <v>6.0600000000000005</v>
      </c>
      <c r="DW188" s="170">
        <f>BN31</f>
        <v>37.82</v>
      </c>
      <c r="DX188" s="93" t="e">
        <f>DT188+DU188+DV188+DW188</f>
        <v>#REF!</v>
      </c>
      <c r="DY188" s="94" t="e">
        <f t="shared" ref="DY188:DY252" si="49">DX188/0.75*0.25</f>
        <v>#REF!</v>
      </c>
      <c r="DZ188" s="93" t="e">
        <f t="shared" ref="DZ188:DZ252" si="50">DX188+DY188</f>
        <v>#REF!</v>
      </c>
      <c r="EA188" s="123" t="e">
        <f t="shared" ref="EA188:EA192" si="51">ROUND(DZ188*10.764/1,0)*1</f>
        <v>#REF!</v>
      </c>
      <c r="EB188" s="184" t="e">
        <f t="shared" ref="EB188:EB192" si="52">(EA188*$ED$54)/$EC$54</f>
        <v>#REF!</v>
      </c>
      <c r="EC188" s="96" t="e">
        <f t="shared" si="48"/>
        <v>#REF!</v>
      </c>
      <c r="ED188" s="295" t="s">
        <v>593</v>
      </c>
      <c r="EE188" s="295"/>
      <c r="EF188" s="295"/>
      <c r="EG188" s="295"/>
      <c r="EH188" s="295"/>
      <c r="EI188" s="295"/>
      <c r="EJ188" s="295"/>
      <c r="EK188" s="295"/>
      <c r="EL188" s="295"/>
      <c r="EM188" s="295"/>
      <c r="EN188" s="222" t="s">
        <v>585</v>
      </c>
    </row>
    <row r="189" spans="12:146" ht="24.95" customHeight="1" x14ac:dyDescent="0.25">
      <c r="DL189" s="54"/>
      <c r="DM189" s="188"/>
      <c r="DN189" s="54"/>
      <c r="DO189" s="54"/>
      <c r="DP189" s="54"/>
      <c r="DQ189" s="54"/>
      <c r="DR189" s="54"/>
      <c r="DS189" s="54"/>
      <c r="DT189" s="154"/>
      <c r="DU189" s="20"/>
      <c r="DV189" s="187"/>
      <c r="DW189" s="170"/>
      <c r="DX189" s="93"/>
      <c r="DY189" s="94"/>
      <c r="DZ189" s="93"/>
      <c r="EA189" s="123"/>
      <c r="EB189" s="184"/>
      <c r="EC189" s="96"/>
      <c r="ED189" s="308" t="s">
        <v>591</v>
      </c>
      <c r="EE189" s="308"/>
      <c r="EF189" s="308"/>
      <c r="EG189" s="308"/>
      <c r="EH189" s="308"/>
      <c r="EI189" s="308"/>
      <c r="EJ189" s="308"/>
      <c r="EK189" s="308"/>
      <c r="EL189" s="308"/>
      <c r="EM189" s="308"/>
      <c r="EN189" s="95"/>
    </row>
    <row r="190" spans="12:146" ht="27.6" customHeight="1" x14ac:dyDescent="0.25">
      <c r="DG190"/>
      <c r="DL190" s="54">
        <v>46</v>
      </c>
      <c r="DM190" s="188" t="s">
        <v>347</v>
      </c>
      <c r="DN190" s="54"/>
      <c r="DO190" s="54"/>
      <c r="DP190" s="54"/>
      <c r="DQ190" s="54"/>
      <c r="DR190" s="54"/>
      <c r="DS190" s="54"/>
      <c r="DT190" s="154">
        <f>BN65</f>
        <v>614.73</v>
      </c>
      <c r="DU190" s="20">
        <f>DU188</f>
        <v>60.88</v>
      </c>
      <c r="DV190" s="187">
        <f>BN51/4</f>
        <v>6.0600000000000005</v>
      </c>
      <c r="DW190" s="170">
        <f>BN33</f>
        <v>37.82</v>
      </c>
      <c r="DX190" s="93">
        <f>DT190+DU190+DV190+DW190</f>
        <v>719.49</v>
      </c>
      <c r="DY190" s="94">
        <f t="shared" si="49"/>
        <v>239.83</v>
      </c>
      <c r="DZ190" s="93">
        <f t="shared" si="50"/>
        <v>959.32</v>
      </c>
      <c r="EA190" s="123">
        <f t="shared" si="51"/>
        <v>10326</v>
      </c>
      <c r="EB190" s="184" t="e">
        <f t="shared" si="52"/>
        <v>#REF!</v>
      </c>
      <c r="EC190" s="96" t="e">
        <f t="shared" si="48"/>
        <v>#REF!</v>
      </c>
      <c r="ED190" s="223" t="s">
        <v>592</v>
      </c>
    </row>
    <row r="191" spans="12:146" ht="24.95" customHeight="1" x14ac:dyDescent="0.25">
      <c r="DH191"/>
      <c r="DI191"/>
      <c r="DJ191"/>
      <c r="DL191" s="54">
        <v>47</v>
      </c>
      <c r="DM191" s="188" t="s">
        <v>348</v>
      </c>
      <c r="DN191" s="54"/>
      <c r="DO191" s="54"/>
      <c r="DP191" s="54"/>
      <c r="DQ191" s="54"/>
      <c r="DR191" s="54"/>
      <c r="DS191" s="54"/>
      <c r="DT191" s="154">
        <f>BN67</f>
        <v>779.39</v>
      </c>
      <c r="DU191" s="186">
        <f>BN58/2</f>
        <v>60.88</v>
      </c>
      <c r="DV191" s="187">
        <f>BN51/4</f>
        <v>6.0600000000000005</v>
      </c>
      <c r="DW191" s="170">
        <f>BN35</f>
        <v>37.82</v>
      </c>
      <c r="DX191" s="93">
        <f>DT191+DU191+DV191+DW191</f>
        <v>884.15</v>
      </c>
      <c r="DY191" s="94">
        <f t="shared" si="49"/>
        <v>294.71666666666664</v>
      </c>
      <c r="DZ191" s="93">
        <f t="shared" si="50"/>
        <v>1178.8666666666666</v>
      </c>
      <c r="EA191" s="123">
        <f t="shared" si="51"/>
        <v>12689</v>
      </c>
      <c r="EB191" s="184" t="e">
        <f t="shared" si="52"/>
        <v>#REF!</v>
      </c>
      <c r="EC191" s="96" t="e">
        <f t="shared" si="48"/>
        <v>#REF!</v>
      </c>
    </row>
    <row r="192" spans="12:146" ht="24.95" customHeight="1" x14ac:dyDescent="0.25">
      <c r="DL192" s="54">
        <v>48</v>
      </c>
      <c r="DM192" s="188" t="s">
        <v>349</v>
      </c>
      <c r="DN192" s="54"/>
      <c r="DO192" s="54"/>
      <c r="DP192" s="54"/>
      <c r="DQ192" s="54"/>
      <c r="DR192" s="54"/>
      <c r="DS192" s="54"/>
      <c r="DT192" s="154" t="e">
        <f>#REF!</f>
        <v>#REF!</v>
      </c>
      <c r="DU192" s="20">
        <f>DU191</f>
        <v>60.88</v>
      </c>
      <c r="DV192" s="187">
        <f>BN51/4</f>
        <v>6.0600000000000005</v>
      </c>
      <c r="DW192" s="170">
        <f>BN37</f>
        <v>37.82</v>
      </c>
      <c r="DX192" s="93" t="e">
        <f>DT192+DU192+DV192+DW192</f>
        <v>#REF!</v>
      </c>
      <c r="DY192" s="94" t="e">
        <f t="shared" si="49"/>
        <v>#REF!</v>
      </c>
      <c r="DZ192" s="93" t="e">
        <f t="shared" si="50"/>
        <v>#REF!</v>
      </c>
      <c r="EA192" s="123" t="e">
        <f t="shared" si="51"/>
        <v>#REF!</v>
      </c>
      <c r="EB192" s="184" t="e">
        <f t="shared" si="52"/>
        <v>#REF!</v>
      </c>
      <c r="EC192" s="96" t="e">
        <f t="shared" si="48"/>
        <v>#REF!</v>
      </c>
    </row>
    <row r="193" spans="112:133" ht="24.95" customHeight="1" x14ac:dyDescent="0.25">
      <c r="DL193" s="54"/>
      <c r="DM193" s="39" t="s">
        <v>12</v>
      </c>
      <c r="DN193" s="54"/>
      <c r="DO193" s="54"/>
      <c r="DP193" s="54"/>
      <c r="DQ193" s="54"/>
      <c r="DR193" s="54"/>
      <c r="DS193" s="54"/>
      <c r="DT193" s="154"/>
      <c r="DU193" s="186"/>
      <c r="DV193" s="187"/>
      <c r="DW193" s="170"/>
      <c r="DX193" s="93"/>
      <c r="DY193" s="94"/>
      <c r="DZ193" s="93"/>
      <c r="EA193" s="208" t="e">
        <f>SUM(EA188:EA192)</f>
        <v>#REF!</v>
      </c>
      <c r="EB193" s="185"/>
      <c r="EC193" s="96">
        <f t="shared" si="48"/>
        <v>0</v>
      </c>
    </row>
    <row r="194" spans="112:133" ht="24.95" customHeight="1" x14ac:dyDescent="0.25">
      <c r="DL194" s="54"/>
      <c r="DM194" s="39"/>
      <c r="DN194" s="54"/>
      <c r="DO194" s="54"/>
      <c r="DP194" s="54"/>
      <c r="DQ194" s="54"/>
      <c r="DR194" s="54"/>
      <c r="DS194" s="54"/>
      <c r="DT194" s="154"/>
      <c r="DU194" s="186"/>
      <c r="DV194" s="187"/>
      <c r="DW194" s="170"/>
      <c r="DX194" s="93"/>
      <c r="DY194" s="94"/>
      <c r="DZ194" s="93"/>
      <c r="EA194" s="86"/>
      <c r="EB194" s="185"/>
      <c r="EC194" s="96"/>
    </row>
    <row r="195" spans="112:133" ht="24.95" customHeight="1" x14ac:dyDescent="0.25">
      <c r="DL195" s="54"/>
      <c r="DM195" s="188"/>
      <c r="DN195" s="54"/>
      <c r="DO195" s="54"/>
      <c r="DP195" s="54"/>
      <c r="DQ195" s="54"/>
      <c r="DR195" s="54"/>
      <c r="DS195" s="54"/>
      <c r="DT195" s="154"/>
      <c r="DU195" s="20"/>
      <c r="DV195" s="187"/>
      <c r="DW195" s="170"/>
      <c r="DX195" s="93"/>
      <c r="DY195" s="94"/>
      <c r="DZ195" s="93"/>
      <c r="EA195" s="123"/>
      <c r="EB195" s="184"/>
      <c r="EC195" s="96"/>
    </row>
    <row r="196" spans="112:133" ht="24.95" customHeight="1" x14ac:dyDescent="0.25">
      <c r="DL196" s="54"/>
      <c r="DM196" s="188"/>
      <c r="DN196" s="54"/>
      <c r="DO196" s="54"/>
      <c r="DP196" s="54"/>
      <c r="DQ196" s="54"/>
      <c r="DR196" s="54"/>
      <c r="DS196" s="54"/>
      <c r="DT196" s="154"/>
      <c r="DU196" s="20"/>
      <c r="DV196" s="187"/>
      <c r="DW196" s="170"/>
      <c r="DX196" s="93"/>
      <c r="DY196" s="94"/>
      <c r="DZ196" s="93"/>
      <c r="EA196" s="123"/>
      <c r="EB196" s="184"/>
      <c r="EC196" s="96"/>
    </row>
    <row r="197" spans="112:133" ht="24.95" customHeight="1" x14ac:dyDescent="0.25">
      <c r="DH197"/>
      <c r="DI197"/>
      <c r="DJ197"/>
      <c r="DL197" s="54"/>
      <c r="DM197" s="188"/>
      <c r="DN197" s="54"/>
      <c r="DO197" s="54"/>
      <c r="DP197" s="54"/>
      <c r="DQ197" s="54"/>
      <c r="DR197" s="54"/>
      <c r="DS197" s="54"/>
      <c r="DT197" s="154"/>
      <c r="DU197" s="20"/>
      <c r="DV197" s="187"/>
      <c r="DW197" s="170"/>
      <c r="DX197" s="93"/>
      <c r="DY197" s="94"/>
      <c r="DZ197" s="93"/>
      <c r="EA197" s="123"/>
      <c r="EB197" s="184"/>
      <c r="EC197" s="96"/>
    </row>
    <row r="198" spans="112:133" ht="24.95" customHeight="1" x14ac:dyDescent="0.25">
      <c r="DL198" s="54">
        <v>52</v>
      </c>
      <c r="DM198" s="188" t="s">
        <v>350</v>
      </c>
      <c r="DN198" s="54"/>
      <c r="DO198" s="54"/>
      <c r="DP198" s="54"/>
      <c r="DQ198" s="54"/>
      <c r="DR198" s="54"/>
      <c r="DS198" s="54"/>
      <c r="DT198" s="154" t="e">
        <f>#REF!</f>
        <v>#REF!</v>
      </c>
      <c r="DU198" s="20">
        <f>DU197</f>
        <v>0</v>
      </c>
      <c r="DV198" s="187">
        <f>BQ51/4</f>
        <v>6.0600000000000005</v>
      </c>
      <c r="DW198" s="170">
        <f>BW37</f>
        <v>37.82</v>
      </c>
      <c r="DX198" s="93" t="e">
        <f>DT198+DU198+DV198+DW198</f>
        <v>#REF!</v>
      </c>
      <c r="DY198" s="94" t="e">
        <f t="shared" si="49"/>
        <v>#REF!</v>
      </c>
      <c r="DZ198" s="93" t="e">
        <f t="shared" si="50"/>
        <v>#REF!</v>
      </c>
      <c r="EA198" s="123" t="e">
        <f t="shared" ref="EA198" si="53">ROUND(DZ198*10.764/1,0)*1</f>
        <v>#REF!</v>
      </c>
      <c r="EB198" s="184" t="e">
        <f t="shared" ref="EB198" si="54">(EA198*$ED$54)/$EC$54</f>
        <v>#REF!</v>
      </c>
      <c r="EC198" s="96" t="e">
        <f t="shared" si="48"/>
        <v>#REF!</v>
      </c>
    </row>
    <row r="199" spans="112:133" ht="24.95" customHeight="1" x14ac:dyDescent="0.25">
      <c r="DL199" s="54"/>
      <c r="DM199" s="39" t="s">
        <v>12</v>
      </c>
      <c r="DN199" s="54"/>
      <c r="DO199" s="54"/>
      <c r="DP199" s="54"/>
      <c r="DQ199" s="54"/>
      <c r="DR199" s="54"/>
      <c r="DS199" s="54"/>
      <c r="DT199" s="154"/>
      <c r="DU199" s="20"/>
      <c r="DV199" s="187"/>
      <c r="DW199" s="170"/>
      <c r="DX199" s="93"/>
      <c r="DY199" s="94"/>
      <c r="DZ199" s="93"/>
      <c r="EA199" s="208" t="e">
        <f>SUM(EA195:EA198)</f>
        <v>#REF!</v>
      </c>
      <c r="EB199" s="185"/>
      <c r="EC199" s="96">
        <f t="shared" si="48"/>
        <v>0</v>
      </c>
    </row>
    <row r="200" spans="112:133" ht="24.95" customHeight="1" x14ac:dyDescent="0.25">
      <c r="DL200" s="54"/>
      <c r="DM200" s="39" t="s">
        <v>351</v>
      </c>
      <c r="DN200" s="54">
        <f>DN188</f>
        <v>2943.9</v>
      </c>
      <c r="DO200" s="54">
        <v>208.39</v>
      </c>
      <c r="DP200" s="54">
        <v>18.39</v>
      </c>
      <c r="DQ200" s="54"/>
      <c r="DR200" s="54">
        <v>134.99</v>
      </c>
      <c r="DS200" s="54">
        <f>DN200+DO200+DP200+DQ200+DR200</f>
        <v>3305.67</v>
      </c>
      <c r="DT200" s="154"/>
      <c r="DU200" s="20"/>
      <c r="DV200" s="187"/>
      <c r="DW200" s="170"/>
      <c r="DX200" s="93"/>
      <c r="DY200" s="94"/>
      <c r="DZ200" s="93"/>
      <c r="EA200" s="86"/>
      <c r="EB200" s="185"/>
      <c r="EC200" s="96">
        <f t="shared" si="48"/>
        <v>0</v>
      </c>
    </row>
    <row r="201" spans="112:133" ht="24.95" customHeight="1" x14ac:dyDescent="0.25">
      <c r="DL201" s="54">
        <v>53</v>
      </c>
      <c r="DM201" s="188" t="s">
        <v>353</v>
      </c>
      <c r="DN201" s="54"/>
      <c r="DO201" s="54"/>
      <c r="DP201" s="54"/>
      <c r="DQ201" s="54"/>
      <c r="DR201" s="54"/>
      <c r="DS201" s="54"/>
      <c r="DT201" s="154" t="e">
        <f>#REF!</f>
        <v>#REF!</v>
      </c>
      <c r="DU201" s="20">
        <f>BT56/2</f>
        <v>60.88</v>
      </c>
      <c r="DV201" s="187">
        <f>BT51/4</f>
        <v>6.0600000000000005</v>
      </c>
      <c r="DW201" s="170">
        <f>BT31</f>
        <v>37.82</v>
      </c>
      <c r="DX201" s="93" t="e">
        <f>DT201+DU201+DV201+DW201</f>
        <v>#REF!</v>
      </c>
      <c r="DY201" s="94" t="e">
        <f t="shared" si="49"/>
        <v>#REF!</v>
      </c>
      <c r="DZ201" s="93" t="e">
        <f t="shared" si="50"/>
        <v>#REF!</v>
      </c>
      <c r="EA201" s="123" t="e">
        <f t="shared" ref="EA201:EA204" si="55">ROUND(DZ201*10.764/1,0)*1</f>
        <v>#REF!</v>
      </c>
      <c r="EB201" s="184" t="e">
        <f t="shared" ref="EB201:EB204" si="56">(EA201*$ED$54)/$EC$54</f>
        <v>#REF!</v>
      </c>
      <c r="EC201" s="96" t="e">
        <f t="shared" si="48"/>
        <v>#REF!</v>
      </c>
    </row>
    <row r="202" spans="112:133" ht="24.95" customHeight="1" x14ac:dyDescent="0.25">
      <c r="DL202" s="54">
        <v>54</v>
      </c>
      <c r="DM202" s="188" t="s">
        <v>354</v>
      </c>
      <c r="DN202" s="54"/>
      <c r="DO202" s="54"/>
      <c r="DP202" s="54"/>
      <c r="DQ202" s="54"/>
      <c r="DR202" s="54"/>
      <c r="DS202" s="54"/>
      <c r="DT202" s="154">
        <f>BT65</f>
        <v>614.73</v>
      </c>
      <c r="DU202" s="20">
        <f>DU201</f>
        <v>60.88</v>
      </c>
      <c r="DV202" s="187">
        <f>BT51/4</f>
        <v>6.0600000000000005</v>
      </c>
      <c r="DW202" s="170">
        <f>BT33</f>
        <v>37.82</v>
      </c>
      <c r="DX202" s="93">
        <f>DT202+DU202+DV202+DW202</f>
        <v>719.49</v>
      </c>
      <c r="DY202" s="94">
        <f t="shared" si="49"/>
        <v>239.83</v>
      </c>
      <c r="DZ202" s="93">
        <f t="shared" si="50"/>
        <v>959.32</v>
      </c>
      <c r="EA202" s="123">
        <f t="shared" si="55"/>
        <v>10326</v>
      </c>
      <c r="EB202" s="184" t="e">
        <f t="shared" si="56"/>
        <v>#REF!</v>
      </c>
      <c r="EC202" s="96" t="e">
        <f t="shared" si="48"/>
        <v>#REF!</v>
      </c>
    </row>
    <row r="203" spans="112:133" ht="24.95" customHeight="1" x14ac:dyDescent="0.25">
      <c r="DL203" s="54">
        <v>55</v>
      </c>
      <c r="DM203" s="188" t="s">
        <v>355</v>
      </c>
      <c r="DN203" s="54"/>
      <c r="DO203" s="54"/>
      <c r="DP203" s="54"/>
      <c r="DQ203" s="54"/>
      <c r="DR203" s="54"/>
      <c r="DS203" s="54"/>
      <c r="DT203" s="154">
        <f>BT67</f>
        <v>779.39</v>
      </c>
      <c r="DU203" s="20">
        <f>BT58/2</f>
        <v>60.88</v>
      </c>
      <c r="DV203" s="187">
        <f>BT51/4</f>
        <v>6.0600000000000005</v>
      </c>
      <c r="DW203" s="170">
        <f>BT35</f>
        <v>37.82</v>
      </c>
      <c r="DX203" s="93">
        <f>DT203+DU203+DV203+DW203</f>
        <v>884.15</v>
      </c>
      <c r="DY203" s="94">
        <f t="shared" si="49"/>
        <v>294.71666666666664</v>
      </c>
      <c r="DZ203" s="93">
        <f t="shared" si="50"/>
        <v>1178.8666666666666</v>
      </c>
      <c r="EA203" s="123">
        <f t="shared" si="55"/>
        <v>12689</v>
      </c>
      <c r="EB203" s="184" t="e">
        <f t="shared" si="56"/>
        <v>#REF!</v>
      </c>
      <c r="EC203" s="96" t="e">
        <f t="shared" si="48"/>
        <v>#REF!</v>
      </c>
    </row>
    <row r="204" spans="112:133" ht="24.95" customHeight="1" x14ac:dyDescent="0.25">
      <c r="DL204" s="54">
        <v>56</v>
      </c>
      <c r="DM204" s="188" t="s">
        <v>356</v>
      </c>
      <c r="DN204" s="54"/>
      <c r="DO204" s="54"/>
      <c r="DP204" s="54"/>
      <c r="DQ204" s="54"/>
      <c r="DR204" s="54"/>
      <c r="DS204" s="54"/>
      <c r="DT204" s="154" t="e">
        <f>#REF!</f>
        <v>#REF!</v>
      </c>
      <c r="DU204" s="20">
        <f>DU203</f>
        <v>60.88</v>
      </c>
      <c r="DV204" s="187">
        <f>BT51/4</f>
        <v>6.0600000000000005</v>
      </c>
      <c r="DW204" s="170">
        <f>BT37</f>
        <v>37.82</v>
      </c>
      <c r="DX204" s="93" t="e">
        <f>DT204+DU204+DV204+DW204</f>
        <v>#REF!</v>
      </c>
      <c r="DY204" s="94" t="e">
        <f t="shared" si="49"/>
        <v>#REF!</v>
      </c>
      <c r="DZ204" s="93" t="e">
        <f t="shared" si="50"/>
        <v>#REF!</v>
      </c>
      <c r="EA204" s="123" t="e">
        <f t="shared" si="55"/>
        <v>#REF!</v>
      </c>
      <c r="EB204" s="184" t="e">
        <f t="shared" si="56"/>
        <v>#REF!</v>
      </c>
      <c r="EC204" s="96" t="e">
        <f t="shared" si="48"/>
        <v>#REF!</v>
      </c>
    </row>
    <row r="205" spans="112:133" ht="24.95" customHeight="1" x14ac:dyDescent="0.25">
      <c r="DL205" s="54"/>
      <c r="DM205" s="39" t="s">
        <v>12</v>
      </c>
      <c r="DN205" s="54"/>
      <c r="DO205" s="54"/>
      <c r="DP205" s="54"/>
      <c r="DQ205" s="54"/>
      <c r="DR205" s="54"/>
      <c r="DS205" s="54"/>
      <c r="DT205" s="154"/>
      <c r="DU205" s="20"/>
      <c r="DV205" s="187"/>
      <c r="DW205" s="170"/>
      <c r="DX205" s="93"/>
      <c r="DY205" s="94"/>
      <c r="DZ205" s="93"/>
      <c r="EA205" s="208" t="e">
        <f>SUM(EA201:EA204)</f>
        <v>#REF!</v>
      </c>
      <c r="EB205" s="185"/>
      <c r="EC205" s="96">
        <f t="shared" si="48"/>
        <v>0</v>
      </c>
    </row>
    <row r="206" spans="112:133" ht="24.95" customHeight="1" x14ac:dyDescent="0.25">
      <c r="DL206" s="54"/>
      <c r="DM206" s="39" t="s">
        <v>352</v>
      </c>
      <c r="DN206" s="54"/>
      <c r="DO206" s="54"/>
      <c r="DP206" s="54"/>
      <c r="DQ206" s="54"/>
      <c r="DR206" s="54"/>
      <c r="DS206" s="54"/>
      <c r="DT206" s="154"/>
      <c r="DU206" s="20"/>
      <c r="DV206" s="187"/>
      <c r="DW206" s="170"/>
      <c r="DX206" s="93"/>
      <c r="DY206" s="94"/>
      <c r="DZ206" s="93"/>
      <c r="EA206" s="86"/>
      <c r="EB206" s="185"/>
      <c r="EC206" s="96">
        <f t="shared" si="48"/>
        <v>0</v>
      </c>
    </row>
    <row r="207" spans="112:133" ht="24.95" customHeight="1" x14ac:dyDescent="0.25">
      <c r="DL207" s="54">
        <v>57</v>
      </c>
      <c r="DM207" s="188" t="s">
        <v>357</v>
      </c>
      <c r="DN207" s="54">
        <v>2997.03</v>
      </c>
      <c r="DO207" s="54">
        <v>208.39</v>
      </c>
      <c r="DP207" s="54">
        <v>18.39</v>
      </c>
      <c r="DQ207" s="54"/>
      <c r="DR207" s="54">
        <v>134.99</v>
      </c>
      <c r="DS207" s="54">
        <f>DN207+DO207+DP207+DQ207+DR207</f>
        <v>3358.8</v>
      </c>
      <c r="DT207" s="154" t="e">
        <f>#REF!</f>
        <v>#REF!</v>
      </c>
      <c r="DU207" s="20">
        <f>BW56/2</f>
        <v>60.88</v>
      </c>
      <c r="DV207" s="187">
        <f>BW51/4</f>
        <v>6.0600000000000005</v>
      </c>
      <c r="DW207" s="170">
        <f>BW31</f>
        <v>37.82</v>
      </c>
      <c r="DX207" s="93" t="e">
        <f>DT207+DU207+DV207+DW207</f>
        <v>#REF!</v>
      </c>
      <c r="DY207" s="94" t="e">
        <f t="shared" si="49"/>
        <v>#REF!</v>
      </c>
      <c r="DZ207" s="93" t="e">
        <f t="shared" si="50"/>
        <v>#REF!</v>
      </c>
      <c r="EA207" s="123" t="e">
        <f t="shared" ref="EA207:EA210" si="57">ROUND(DZ207*10.764/1,0)*1</f>
        <v>#REF!</v>
      </c>
      <c r="EB207" s="184" t="e">
        <f t="shared" ref="EB207:EB210" si="58">(EA207*$ED$54)/$EC$54</f>
        <v>#REF!</v>
      </c>
      <c r="EC207" s="96" t="e">
        <f t="shared" si="48"/>
        <v>#REF!</v>
      </c>
    </row>
    <row r="208" spans="112:133" ht="24.95" customHeight="1" x14ac:dyDescent="0.25">
      <c r="DL208" s="54">
        <v>58</v>
      </c>
      <c r="DM208" s="188" t="s">
        <v>358</v>
      </c>
      <c r="DN208" s="54"/>
      <c r="DO208" s="54"/>
      <c r="DP208" s="54"/>
      <c r="DQ208" s="54"/>
      <c r="DR208" s="54"/>
      <c r="DS208" s="54"/>
      <c r="DT208" s="19">
        <f>BW65</f>
        <v>644</v>
      </c>
      <c r="DU208" s="20">
        <f>DU207</f>
        <v>60.88</v>
      </c>
      <c r="DV208" s="187">
        <f>BW51/4</f>
        <v>6.0600000000000005</v>
      </c>
      <c r="DW208" s="170">
        <f>BW33</f>
        <v>37.82</v>
      </c>
      <c r="DX208" s="93">
        <f>DT208+DU208+DV208+DW208</f>
        <v>748.76</v>
      </c>
      <c r="DY208" s="94">
        <f t="shared" si="49"/>
        <v>249.58666666666667</v>
      </c>
      <c r="DZ208" s="93">
        <f t="shared" si="50"/>
        <v>998.34666666666669</v>
      </c>
      <c r="EA208" s="123">
        <f t="shared" si="57"/>
        <v>10746</v>
      </c>
      <c r="EB208" s="184" t="e">
        <f t="shared" si="58"/>
        <v>#REF!</v>
      </c>
      <c r="EC208" s="96" t="e">
        <f t="shared" si="48"/>
        <v>#REF!</v>
      </c>
    </row>
    <row r="209" spans="116:133" ht="24.95" customHeight="1" x14ac:dyDescent="0.25">
      <c r="DL209" s="54">
        <v>59</v>
      </c>
      <c r="DM209" s="188" t="s">
        <v>359</v>
      </c>
      <c r="DN209" s="54"/>
      <c r="DO209" s="54"/>
      <c r="DP209" s="54"/>
      <c r="DQ209" s="54"/>
      <c r="DR209" s="54"/>
      <c r="DS209" s="54"/>
      <c r="DT209" s="154">
        <f>BW67</f>
        <v>808.66</v>
      </c>
      <c r="DU209" s="20">
        <f>BW58/2</f>
        <v>60.88</v>
      </c>
      <c r="DV209" s="187">
        <f>BW51/4</f>
        <v>6.0600000000000005</v>
      </c>
      <c r="DW209" s="170">
        <f>BW35</f>
        <v>37.82</v>
      </c>
      <c r="DX209" s="93">
        <f>DT209+DU209+DV209+DW209</f>
        <v>913.42</v>
      </c>
      <c r="DY209" s="94">
        <f t="shared" si="49"/>
        <v>304.4733333333333</v>
      </c>
      <c r="DZ209" s="93">
        <f t="shared" si="50"/>
        <v>1217.8933333333332</v>
      </c>
      <c r="EA209" s="123">
        <f t="shared" si="57"/>
        <v>13109</v>
      </c>
      <c r="EB209" s="184" t="e">
        <f t="shared" si="58"/>
        <v>#REF!</v>
      </c>
      <c r="EC209" s="96" t="e">
        <f t="shared" si="48"/>
        <v>#REF!</v>
      </c>
    </row>
    <row r="210" spans="116:133" ht="24.95" customHeight="1" x14ac:dyDescent="0.25">
      <c r="DL210" s="54">
        <v>60</v>
      </c>
      <c r="DM210" s="188" t="s">
        <v>360</v>
      </c>
      <c r="DN210" s="54"/>
      <c r="DO210" s="54"/>
      <c r="DP210" s="54"/>
      <c r="DQ210" s="54"/>
      <c r="DR210" s="54"/>
      <c r="DS210" s="54"/>
      <c r="DT210" s="154" t="e">
        <f>#REF!</f>
        <v>#REF!</v>
      </c>
      <c r="DU210" s="20">
        <f>DU209</f>
        <v>60.88</v>
      </c>
      <c r="DV210" s="187">
        <f>BW51/4</f>
        <v>6.0600000000000005</v>
      </c>
      <c r="DW210" s="170">
        <f>BW37</f>
        <v>37.82</v>
      </c>
      <c r="DX210" s="93" t="e">
        <f>DT210+DU210+DV210+DW210</f>
        <v>#REF!</v>
      </c>
      <c r="DY210" s="94" t="e">
        <f t="shared" si="49"/>
        <v>#REF!</v>
      </c>
      <c r="DZ210" s="93" t="e">
        <f t="shared" si="50"/>
        <v>#REF!</v>
      </c>
      <c r="EA210" s="123" t="e">
        <f t="shared" si="57"/>
        <v>#REF!</v>
      </c>
      <c r="EB210" s="184" t="e">
        <f t="shared" si="58"/>
        <v>#REF!</v>
      </c>
      <c r="EC210" s="96" t="e">
        <f t="shared" si="48"/>
        <v>#REF!</v>
      </c>
    </row>
    <row r="211" spans="116:133" ht="24.95" customHeight="1" x14ac:dyDescent="0.25">
      <c r="DL211" s="54"/>
      <c r="DM211" s="39" t="s">
        <v>12</v>
      </c>
      <c r="DN211" s="54"/>
      <c r="DO211" s="54"/>
      <c r="DP211" s="54"/>
      <c r="DQ211" s="54"/>
      <c r="DR211" s="54"/>
      <c r="DS211" s="54"/>
      <c r="DT211" s="154"/>
      <c r="DU211" s="20"/>
      <c r="DV211" s="187"/>
      <c r="DW211" s="170"/>
      <c r="DX211" s="93"/>
      <c r="DY211" s="94"/>
      <c r="DZ211" s="93"/>
      <c r="EA211" s="208" t="e">
        <f>SUM(EA207:EA210)</f>
        <v>#REF!</v>
      </c>
      <c r="EB211" s="185"/>
      <c r="EC211" s="96">
        <f t="shared" si="48"/>
        <v>0</v>
      </c>
    </row>
    <row r="212" spans="116:133" ht="24.95" customHeight="1" x14ac:dyDescent="0.25">
      <c r="DL212" s="54"/>
      <c r="DM212" s="39" t="s">
        <v>361</v>
      </c>
      <c r="DN212" s="54"/>
      <c r="DO212" s="54"/>
      <c r="DP212" s="54"/>
      <c r="DQ212" s="54"/>
      <c r="DR212" s="54"/>
      <c r="DS212" s="54"/>
      <c r="DT212" s="154"/>
      <c r="DU212" s="20"/>
      <c r="DV212" s="187"/>
      <c r="DW212" s="170"/>
      <c r="DX212" s="93"/>
      <c r="DY212" s="94"/>
      <c r="DZ212" s="93"/>
      <c r="EA212" s="86"/>
      <c r="EB212" s="185"/>
      <c r="EC212" s="96">
        <f t="shared" si="48"/>
        <v>0</v>
      </c>
    </row>
    <row r="213" spans="116:133" ht="24.95" customHeight="1" x14ac:dyDescent="0.25">
      <c r="DL213" s="54">
        <v>61</v>
      </c>
      <c r="DM213" s="188" t="s">
        <v>362</v>
      </c>
      <c r="DN213" s="54">
        <f>DN188</f>
        <v>2943.9</v>
      </c>
      <c r="DO213" s="54">
        <v>208.39</v>
      </c>
      <c r="DP213" s="54">
        <v>18.39</v>
      </c>
      <c r="DQ213" s="54"/>
      <c r="DR213" s="54">
        <v>134.99</v>
      </c>
      <c r="DS213" s="54">
        <f>DN213+DO213+DP213+DQ213+DR213</f>
        <v>3305.67</v>
      </c>
      <c r="DT213" s="154" t="e">
        <f>#REF!</f>
        <v>#REF!</v>
      </c>
      <c r="DU213" s="20">
        <f>BZ56/2</f>
        <v>60.88</v>
      </c>
      <c r="DV213" s="187">
        <f>BZ51/4</f>
        <v>6.0600000000000005</v>
      </c>
      <c r="DW213" s="170">
        <f>BZ31</f>
        <v>37.82</v>
      </c>
      <c r="DX213" s="93" t="e">
        <f>DT213+DU213+DV213+DW213</f>
        <v>#REF!</v>
      </c>
      <c r="DY213" s="94" t="e">
        <f t="shared" si="49"/>
        <v>#REF!</v>
      </c>
      <c r="DZ213" s="93" t="e">
        <f t="shared" si="50"/>
        <v>#REF!</v>
      </c>
      <c r="EA213" s="123" t="e">
        <f t="shared" ref="EA213:EA216" si="59">ROUND(DZ213*10.764/1,0)*1</f>
        <v>#REF!</v>
      </c>
      <c r="EB213" s="184" t="e">
        <f t="shared" ref="EB213:EB216" si="60">(EA213*$ED$54)/$EC$54</f>
        <v>#REF!</v>
      </c>
      <c r="EC213" s="96" t="e">
        <f t="shared" si="48"/>
        <v>#REF!</v>
      </c>
    </row>
    <row r="214" spans="116:133" ht="24.95" customHeight="1" x14ac:dyDescent="0.25">
      <c r="DL214" s="54">
        <v>62</v>
      </c>
      <c r="DM214" s="188" t="s">
        <v>363</v>
      </c>
      <c r="DN214" s="54"/>
      <c r="DO214" s="54"/>
      <c r="DP214" s="54"/>
      <c r="DQ214" s="54"/>
      <c r="DR214" s="54"/>
      <c r="DS214" s="54"/>
      <c r="DT214" s="154">
        <f>BZ65</f>
        <v>614.73</v>
      </c>
      <c r="DU214" s="20">
        <f>DU213</f>
        <v>60.88</v>
      </c>
      <c r="DV214" s="187">
        <f>BZ51/4</f>
        <v>6.0600000000000005</v>
      </c>
      <c r="DW214" s="170">
        <f>BZ33</f>
        <v>37.82</v>
      </c>
      <c r="DX214" s="93">
        <f>DT214+DU214+DV214+DW214</f>
        <v>719.49</v>
      </c>
      <c r="DY214" s="94">
        <f t="shared" si="49"/>
        <v>239.83</v>
      </c>
      <c r="DZ214" s="93">
        <f t="shared" si="50"/>
        <v>959.32</v>
      </c>
      <c r="EA214" s="123">
        <f t="shared" si="59"/>
        <v>10326</v>
      </c>
      <c r="EB214" s="184" t="e">
        <f t="shared" si="60"/>
        <v>#REF!</v>
      </c>
      <c r="EC214" s="96" t="e">
        <f t="shared" si="48"/>
        <v>#REF!</v>
      </c>
    </row>
    <row r="215" spans="116:133" ht="24.95" customHeight="1" x14ac:dyDescent="0.25">
      <c r="DL215" s="54">
        <v>63</v>
      </c>
      <c r="DM215" s="188" t="s">
        <v>364</v>
      </c>
      <c r="DN215" s="54"/>
      <c r="DO215" s="54"/>
      <c r="DP215" s="54"/>
      <c r="DQ215" s="54"/>
      <c r="DR215" s="54"/>
      <c r="DS215" s="54"/>
      <c r="DT215" s="154">
        <f>BZ67</f>
        <v>779.39</v>
      </c>
      <c r="DU215" s="20">
        <f>BZ58/2</f>
        <v>60.88</v>
      </c>
      <c r="DV215" s="187">
        <f>BZ51/4</f>
        <v>6.0600000000000005</v>
      </c>
      <c r="DW215" s="170">
        <f>BZ35</f>
        <v>37.82</v>
      </c>
      <c r="DX215" s="93">
        <f>DT215+DU215+DV215+DW215</f>
        <v>884.15</v>
      </c>
      <c r="DY215" s="94">
        <f t="shared" si="49"/>
        <v>294.71666666666664</v>
      </c>
      <c r="DZ215" s="93">
        <f t="shared" si="50"/>
        <v>1178.8666666666666</v>
      </c>
      <c r="EA215" s="123">
        <f t="shared" si="59"/>
        <v>12689</v>
      </c>
      <c r="EB215" s="184" t="e">
        <f t="shared" si="60"/>
        <v>#REF!</v>
      </c>
      <c r="EC215" s="96" t="e">
        <f t="shared" si="48"/>
        <v>#REF!</v>
      </c>
    </row>
    <row r="216" spans="116:133" ht="24.95" customHeight="1" x14ac:dyDescent="0.25">
      <c r="DL216" s="54">
        <v>64</v>
      </c>
      <c r="DM216" s="188" t="s">
        <v>365</v>
      </c>
      <c r="DN216" s="54"/>
      <c r="DO216" s="54"/>
      <c r="DP216" s="54"/>
      <c r="DQ216" s="54"/>
      <c r="DR216" s="54"/>
      <c r="DS216" s="54"/>
      <c r="DT216" s="154" t="e">
        <f>#REF!</f>
        <v>#REF!</v>
      </c>
      <c r="DU216" s="20">
        <f>DU215</f>
        <v>60.88</v>
      </c>
      <c r="DV216" s="187">
        <f>BZ51/4</f>
        <v>6.0600000000000005</v>
      </c>
      <c r="DW216" s="170">
        <f>BZ37</f>
        <v>37.82</v>
      </c>
      <c r="DX216" s="93" t="e">
        <f>DT216+DU216+DV216+DW216</f>
        <v>#REF!</v>
      </c>
      <c r="DY216" s="94" t="e">
        <f t="shared" si="49"/>
        <v>#REF!</v>
      </c>
      <c r="DZ216" s="93" t="e">
        <f t="shared" si="50"/>
        <v>#REF!</v>
      </c>
      <c r="EA216" s="123" t="e">
        <f t="shared" si="59"/>
        <v>#REF!</v>
      </c>
      <c r="EB216" s="184" t="e">
        <f t="shared" si="60"/>
        <v>#REF!</v>
      </c>
      <c r="EC216" s="96" t="e">
        <f t="shared" si="48"/>
        <v>#REF!</v>
      </c>
    </row>
    <row r="217" spans="116:133" ht="24.95" customHeight="1" x14ac:dyDescent="0.25">
      <c r="DL217" s="54"/>
      <c r="DM217" s="39" t="s">
        <v>12</v>
      </c>
      <c r="DN217" s="54"/>
      <c r="DO217" s="54"/>
      <c r="DP217" s="54"/>
      <c r="DQ217" s="54"/>
      <c r="DR217" s="54"/>
      <c r="DS217" s="54"/>
      <c r="DT217" s="154"/>
      <c r="DU217" s="20"/>
      <c r="DV217" s="187"/>
      <c r="DW217" s="170"/>
      <c r="DX217" s="93"/>
      <c r="DY217" s="94"/>
      <c r="DZ217" s="93"/>
      <c r="EA217" s="208" t="e">
        <f>SUM(EA213:EA216)</f>
        <v>#REF!</v>
      </c>
      <c r="EB217" s="185"/>
      <c r="EC217" s="96">
        <f t="shared" si="48"/>
        <v>0</v>
      </c>
    </row>
    <row r="218" spans="116:133" ht="24.95" customHeight="1" x14ac:dyDescent="0.25">
      <c r="DL218" s="54"/>
      <c r="DM218" s="39" t="s">
        <v>366</v>
      </c>
      <c r="DO218" s="54"/>
      <c r="DP218" s="54"/>
      <c r="DQ218" s="54"/>
      <c r="DR218" s="54"/>
      <c r="DS218" s="54"/>
      <c r="DT218" s="154"/>
      <c r="DU218" s="20"/>
      <c r="DV218" s="187"/>
      <c r="DW218" s="170"/>
      <c r="DX218" s="93"/>
      <c r="DY218" s="94"/>
      <c r="DZ218" s="93"/>
      <c r="EA218" s="86"/>
      <c r="EB218" s="185"/>
      <c r="EC218" s="96">
        <f t="shared" si="48"/>
        <v>0</v>
      </c>
    </row>
    <row r="219" spans="116:133" ht="24.95" customHeight="1" x14ac:dyDescent="0.25">
      <c r="DL219" s="54">
        <v>65</v>
      </c>
      <c r="DM219" s="188" t="s">
        <v>367</v>
      </c>
      <c r="DN219" s="54">
        <v>2743.9</v>
      </c>
      <c r="DO219" s="54">
        <v>208.39</v>
      </c>
      <c r="DP219" s="54">
        <v>18.39</v>
      </c>
      <c r="DQ219" s="54"/>
      <c r="DR219" s="54">
        <v>134.99</v>
      </c>
      <c r="DS219" s="54">
        <f>DN219+DO219+DP219+DQ219+DR219</f>
        <v>3105.67</v>
      </c>
      <c r="DT219" s="154" t="e">
        <f>#REF!</f>
        <v>#REF!</v>
      </c>
      <c r="DU219" s="20">
        <f>CC56/2</f>
        <v>60.88</v>
      </c>
      <c r="DV219" s="187">
        <f>CC51/4</f>
        <v>6.0600000000000005</v>
      </c>
      <c r="DW219" s="170">
        <f>CC31</f>
        <v>37.82</v>
      </c>
      <c r="DX219" s="93" t="e">
        <f>DT219+DU219+DV219+DW219</f>
        <v>#REF!</v>
      </c>
      <c r="DY219" s="94" t="e">
        <f t="shared" si="49"/>
        <v>#REF!</v>
      </c>
      <c r="DZ219" s="93" t="e">
        <f t="shared" si="50"/>
        <v>#REF!</v>
      </c>
      <c r="EA219" s="123" t="e">
        <f t="shared" ref="EA219:EA222" si="61">ROUND(DZ219*10.764/1,0)*1</f>
        <v>#REF!</v>
      </c>
      <c r="EB219" s="184" t="e">
        <f t="shared" ref="EB219:EB222" si="62">(EA219*$ED$54)/$EC$54</f>
        <v>#REF!</v>
      </c>
      <c r="EC219" s="96" t="e">
        <f t="shared" si="48"/>
        <v>#REF!</v>
      </c>
    </row>
    <row r="220" spans="116:133" ht="24.95" customHeight="1" x14ac:dyDescent="0.25">
      <c r="DL220" s="54">
        <v>66</v>
      </c>
      <c r="DM220" s="188" t="s">
        <v>368</v>
      </c>
      <c r="DN220" s="54"/>
      <c r="DO220" s="54"/>
      <c r="DP220" s="54"/>
      <c r="DQ220" s="54"/>
      <c r="DR220" s="54"/>
      <c r="DS220" s="54"/>
      <c r="DT220" s="154">
        <f>CC65</f>
        <v>639.56999999999994</v>
      </c>
      <c r="DU220" s="20">
        <f>DU219</f>
        <v>60.88</v>
      </c>
      <c r="DV220" s="187">
        <f>CC51/4</f>
        <v>6.0600000000000005</v>
      </c>
      <c r="DW220" s="170">
        <f>CC33</f>
        <v>37.82</v>
      </c>
      <c r="DX220" s="93">
        <f>DT220+DU220+DV220+DW220</f>
        <v>744.32999999999993</v>
      </c>
      <c r="DY220" s="94">
        <f t="shared" si="49"/>
        <v>248.10999999999999</v>
      </c>
      <c r="DZ220" s="93">
        <f t="shared" si="50"/>
        <v>992.43999999999994</v>
      </c>
      <c r="EA220" s="123">
        <f t="shared" si="61"/>
        <v>10683</v>
      </c>
      <c r="EB220" s="184" t="e">
        <f t="shared" si="62"/>
        <v>#REF!</v>
      </c>
      <c r="EC220" s="96" t="e">
        <f t="shared" si="48"/>
        <v>#REF!</v>
      </c>
    </row>
    <row r="221" spans="116:133" ht="24.95" customHeight="1" x14ac:dyDescent="0.25">
      <c r="DL221" s="54">
        <v>67</v>
      </c>
      <c r="DM221" s="188" t="s">
        <v>369</v>
      </c>
      <c r="DN221" s="54"/>
      <c r="DO221" s="54"/>
      <c r="DP221" s="54"/>
      <c r="DQ221" s="54"/>
      <c r="DR221" s="54"/>
      <c r="DS221" s="54"/>
      <c r="DT221" s="154">
        <f>CC67</f>
        <v>678.97</v>
      </c>
      <c r="DU221" s="20">
        <f>CC58/2</f>
        <v>60.88</v>
      </c>
      <c r="DV221" s="187">
        <f>CC51/4</f>
        <v>6.0600000000000005</v>
      </c>
      <c r="DW221" s="170">
        <f>CC35</f>
        <v>37.82</v>
      </c>
      <c r="DX221" s="93">
        <f>DT221+DU221+DV221+DW221</f>
        <v>783.73</v>
      </c>
      <c r="DY221" s="94">
        <f t="shared" si="49"/>
        <v>261.24333333333334</v>
      </c>
      <c r="DZ221" s="93">
        <f t="shared" si="50"/>
        <v>1044.9733333333334</v>
      </c>
      <c r="EA221" s="123">
        <f t="shared" si="61"/>
        <v>11248</v>
      </c>
      <c r="EB221" s="184" t="e">
        <f t="shared" si="62"/>
        <v>#REF!</v>
      </c>
      <c r="EC221" s="96" t="e">
        <f t="shared" si="48"/>
        <v>#REF!</v>
      </c>
    </row>
    <row r="222" spans="116:133" ht="24.95" customHeight="1" x14ac:dyDescent="0.25">
      <c r="DL222" s="54">
        <v>68</v>
      </c>
      <c r="DM222" s="188" t="s">
        <v>370</v>
      </c>
      <c r="DN222" s="54"/>
      <c r="DO222" s="54"/>
      <c r="DP222" s="54"/>
      <c r="DQ222" s="54"/>
      <c r="DR222" s="54"/>
      <c r="DS222" s="54"/>
      <c r="DT222" s="154" t="e">
        <f>#REF!</f>
        <v>#REF!</v>
      </c>
      <c r="DU222" s="20">
        <f>DU221</f>
        <v>60.88</v>
      </c>
      <c r="DV222" s="187">
        <f>CC51/4</f>
        <v>6.0600000000000005</v>
      </c>
      <c r="DW222" s="170">
        <f>CC37</f>
        <v>37.82</v>
      </c>
      <c r="DX222" s="93" t="e">
        <f>DT222+DU222+DV222+DW222</f>
        <v>#REF!</v>
      </c>
      <c r="DY222" s="94" t="e">
        <f t="shared" si="49"/>
        <v>#REF!</v>
      </c>
      <c r="DZ222" s="93" t="e">
        <f t="shared" si="50"/>
        <v>#REF!</v>
      </c>
      <c r="EA222" s="123" t="e">
        <f t="shared" si="61"/>
        <v>#REF!</v>
      </c>
      <c r="EB222" s="184" t="e">
        <f t="shared" si="62"/>
        <v>#REF!</v>
      </c>
      <c r="EC222" s="96" t="e">
        <f t="shared" si="48"/>
        <v>#REF!</v>
      </c>
    </row>
    <row r="223" spans="116:133" ht="24.95" customHeight="1" x14ac:dyDescent="0.25">
      <c r="DL223" s="54"/>
      <c r="DM223" s="39" t="s">
        <v>12</v>
      </c>
      <c r="DN223" s="54"/>
      <c r="DO223" s="54"/>
      <c r="DP223" s="54"/>
      <c r="DQ223" s="54"/>
      <c r="DR223" s="54"/>
      <c r="DS223" s="54"/>
      <c r="DT223" s="154"/>
      <c r="DU223" s="20"/>
      <c r="DV223" s="187"/>
      <c r="DW223" s="170"/>
      <c r="DX223" s="93"/>
      <c r="DY223" s="94"/>
      <c r="DZ223" s="93"/>
      <c r="EA223" s="208" t="e">
        <f>SUM(EA219:EA222)</f>
        <v>#REF!</v>
      </c>
      <c r="EB223" s="185"/>
      <c r="EC223" s="96">
        <f t="shared" si="48"/>
        <v>0</v>
      </c>
    </row>
    <row r="224" spans="116:133" ht="24.95" customHeight="1" x14ac:dyDescent="0.25">
      <c r="DL224" s="54"/>
      <c r="DM224" s="39" t="s">
        <v>372</v>
      </c>
      <c r="DN224" s="54"/>
      <c r="DO224" s="54"/>
      <c r="DP224" s="54"/>
      <c r="DQ224" s="54"/>
      <c r="DR224" s="54"/>
      <c r="DS224" s="54"/>
      <c r="DT224" s="154"/>
      <c r="DU224" s="20"/>
      <c r="DV224" s="187"/>
      <c r="DW224" s="170"/>
      <c r="DX224" s="93"/>
      <c r="DY224" s="94"/>
      <c r="DZ224" s="93"/>
      <c r="EA224" s="86"/>
      <c r="EB224" s="185"/>
      <c r="EC224" s="96">
        <f t="shared" si="48"/>
        <v>0</v>
      </c>
    </row>
    <row r="225" spans="115:133" ht="24.95" customHeight="1" x14ac:dyDescent="0.25">
      <c r="DL225" s="54">
        <v>69</v>
      </c>
      <c r="DM225" s="188" t="s">
        <v>371</v>
      </c>
      <c r="DN225" s="54">
        <f>DN188</f>
        <v>2943.9</v>
      </c>
      <c r="DO225" s="54">
        <v>208.39</v>
      </c>
      <c r="DP225" s="54">
        <v>18.39</v>
      </c>
      <c r="DQ225" s="54"/>
      <c r="DR225" s="54">
        <v>134.99</v>
      </c>
      <c r="DS225" s="54">
        <f>DN225+DO225+DP225+DQ225+DR225</f>
        <v>3305.67</v>
      </c>
      <c r="DT225" s="154" t="e">
        <f>#REF!</f>
        <v>#REF!</v>
      </c>
      <c r="DU225" s="20">
        <f>CF56/2</f>
        <v>60.88</v>
      </c>
      <c r="DV225" s="187">
        <f>CF51/4</f>
        <v>6.0600000000000005</v>
      </c>
      <c r="DW225" s="170">
        <f>CF31</f>
        <v>37.82</v>
      </c>
      <c r="DX225" s="93" t="e">
        <f>DT225+DU225+DV225+DW225</f>
        <v>#REF!</v>
      </c>
      <c r="DY225" s="94" t="e">
        <f t="shared" si="49"/>
        <v>#REF!</v>
      </c>
      <c r="DZ225" s="93" t="e">
        <f t="shared" si="50"/>
        <v>#REF!</v>
      </c>
      <c r="EA225" s="123" t="e">
        <f t="shared" ref="EA225:EA228" si="63">ROUND(DZ225*10.764/1,0)*1</f>
        <v>#REF!</v>
      </c>
      <c r="EB225" s="184" t="e">
        <f t="shared" ref="EB225:EB228" si="64">(EA225*$ED$54)/$EC$54</f>
        <v>#REF!</v>
      </c>
      <c r="EC225" s="96" t="e">
        <f t="shared" si="48"/>
        <v>#REF!</v>
      </c>
    </row>
    <row r="226" spans="115:133" ht="24.95" customHeight="1" x14ac:dyDescent="0.25">
      <c r="DL226" s="54">
        <v>70</v>
      </c>
      <c r="DM226" s="188" t="s">
        <v>373</v>
      </c>
      <c r="DN226" s="54"/>
      <c r="DO226" s="54"/>
      <c r="DP226" s="54"/>
      <c r="DQ226" s="54"/>
      <c r="DR226" s="54"/>
      <c r="DS226" s="54"/>
      <c r="DT226" s="154">
        <f>CF65</f>
        <v>614.73</v>
      </c>
      <c r="DU226" s="20">
        <f>DU225</f>
        <v>60.88</v>
      </c>
      <c r="DV226" s="187">
        <f>CF51/4</f>
        <v>6.0600000000000005</v>
      </c>
      <c r="DW226" s="170">
        <f>CF33</f>
        <v>37.82</v>
      </c>
      <c r="DX226" s="93">
        <f>DT226+DU226+DV226+DW226</f>
        <v>719.49</v>
      </c>
      <c r="DY226" s="94">
        <f t="shared" si="49"/>
        <v>239.83</v>
      </c>
      <c r="DZ226" s="93">
        <f t="shared" si="50"/>
        <v>959.32</v>
      </c>
      <c r="EA226" s="123">
        <f t="shared" si="63"/>
        <v>10326</v>
      </c>
      <c r="EB226" s="184" t="e">
        <f t="shared" si="64"/>
        <v>#REF!</v>
      </c>
      <c r="EC226" s="96" t="e">
        <f t="shared" si="48"/>
        <v>#REF!</v>
      </c>
    </row>
    <row r="227" spans="115:133" ht="24.95" customHeight="1" x14ac:dyDescent="0.25">
      <c r="DL227" s="54">
        <v>71</v>
      </c>
      <c r="DM227" s="188" t="s">
        <v>374</v>
      </c>
      <c r="DN227" s="54"/>
      <c r="DO227" s="54"/>
      <c r="DP227" s="54"/>
      <c r="DQ227" s="54"/>
      <c r="DR227" s="54"/>
      <c r="DS227" s="54"/>
      <c r="DT227" s="154">
        <f>CF67</f>
        <v>779.39</v>
      </c>
      <c r="DU227" s="20">
        <f>CF58/2</f>
        <v>60.88</v>
      </c>
      <c r="DV227" s="187">
        <f>CF51/4</f>
        <v>6.0600000000000005</v>
      </c>
      <c r="DW227" s="170">
        <f>CF35</f>
        <v>37.82</v>
      </c>
      <c r="DX227" s="93">
        <f>DT227+DU227+DV227+DW227</f>
        <v>884.15</v>
      </c>
      <c r="DY227" s="94">
        <f t="shared" si="49"/>
        <v>294.71666666666664</v>
      </c>
      <c r="DZ227" s="93">
        <f t="shared" si="50"/>
        <v>1178.8666666666666</v>
      </c>
      <c r="EA227" s="123">
        <f t="shared" si="63"/>
        <v>12689</v>
      </c>
      <c r="EB227" s="184" t="e">
        <f t="shared" si="64"/>
        <v>#REF!</v>
      </c>
      <c r="EC227" s="96" t="e">
        <f t="shared" si="48"/>
        <v>#REF!</v>
      </c>
    </row>
    <row r="228" spans="115:133" ht="24.95" customHeight="1" x14ac:dyDescent="0.25">
      <c r="DL228" s="54">
        <v>72</v>
      </c>
      <c r="DM228" s="188" t="s">
        <v>375</v>
      </c>
      <c r="DN228" s="54"/>
      <c r="DO228" s="54"/>
      <c r="DP228" s="54"/>
      <c r="DQ228" s="54"/>
      <c r="DR228" s="54"/>
      <c r="DS228" s="54"/>
      <c r="DT228" s="154" t="e">
        <f>#REF!</f>
        <v>#REF!</v>
      </c>
      <c r="DU228" s="20">
        <f>DU227</f>
        <v>60.88</v>
      </c>
      <c r="DV228" s="187">
        <f>CF51/4</f>
        <v>6.0600000000000005</v>
      </c>
      <c r="DW228" s="170">
        <f>CF37</f>
        <v>37.82</v>
      </c>
      <c r="DX228" s="93" t="e">
        <f>DT228+DU228+DV228+DW228</f>
        <v>#REF!</v>
      </c>
      <c r="DY228" s="94" t="e">
        <f t="shared" si="49"/>
        <v>#REF!</v>
      </c>
      <c r="DZ228" s="93" t="e">
        <f t="shared" si="50"/>
        <v>#REF!</v>
      </c>
      <c r="EA228" s="123" t="e">
        <f t="shared" si="63"/>
        <v>#REF!</v>
      </c>
      <c r="EB228" s="184" t="e">
        <f t="shared" si="64"/>
        <v>#REF!</v>
      </c>
      <c r="EC228" s="96" t="e">
        <f t="shared" si="48"/>
        <v>#REF!</v>
      </c>
    </row>
    <row r="229" spans="115:133" ht="24.95" customHeight="1" x14ac:dyDescent="0.25">
      <c r="DL229" s="54"/>
      <c r="DM229" s="39" t="s">
        <v>12</v>
      </c>
      <c r="DN229" s="54"/>
      <c r="DO229" s="54"/>
      <c r="DP229" s="54"/>
      <c r="DQ229" s="54"/>
      <c r="DR229" s="54"/>
      <c r="DS229" s="54"/>
      <c r="DT229" s="154"/>
      <c r="DU229" s="20"/>
      <c r="DV229" s="187"/>
      <c r="DW229" s="170"/>
      <c r="DX229" s="93"/>
      <c r="DY229" s="94"/>
      <c r="DZ229" s="93"/>
      <c r="EA229" s="208" t="e">
        <f>SUM(EA225:EA228)</f>
        <v>#REF!</v>
      </c>
      <c r="EB229" s="185"/>
      <c r="EC229" s="96">
        <f t="shared" si="48"/>
        <v>0</v>
      </c>
    </row>
    <row r="230" spans="115:133" ht="24.95" customHeight="1" x14ac:dyDescent="0.25">
      <c r="DL230" s="54"/>
      <c r="DM230" s="39" t="s">
        <v>376</v>
      </c>
      <c r="DN230" s="54"/>
      <c r="DO230" s="54"/>
      <c r="DP230" s="54"/>
      <c r="DQ230" s="54"/>
      <c r="DR230" s="54"/>
      <c r="DS230" s="54"/>
      <c r="DT230" s="154"/>
      <c r="DU230" s="20"/>
      <c r="DV230" s="187"/>
      <c r="DW230" s="170"/>
      <c r="DX230" s="93"/>
      <c r="DY230" s="94"/>
      <c r="DZ230" s="93"/>
      <c r="EA230" s="86"/>
      <c r="EB230" s="185"/>
      <c r="EC230" s="96">
        <f t="shared" si="48"/>
        <v>0</v>
      </c>
    </row>
    <row r="231" spans="115:133" ht="24.95" customHeight="1" x14ac:dyDescent="0.25">
      <c r="DL231" s="54">
        <v>73</v>
      </c>
      <c r="DM231" s="188" t="s">
        <v>377</v>
      </c>
      <c r="DN231" s="54">
        <v>2997.03</v>
      </c>
      <c r="DO231" s="54">
        <v>208.39</v>
      </c>
      <c r="DP231" s="54">
        <v>18.39</v>
      </c>
      <c r="DQ231" s="54"/>
      <c r="DR231" s="54">
        <v>134.99</v>
      </c>
      <c r="DS231" s="54">
        <f>DN231+DO231+DP231+DQ231+DR231</f>
        <v>3358.8</v>
      </c>
      <c r="DT231" s="154" t="e">
        <f>#REF!</f>
        <v>#REF!</v>
      </c>
      <c r="DU231" s="20">
        <f>CI56/2</f>
        <v>60.88</v>
      </c>
      <c r="DV231" s="187">
        <f>CI51/4</f>
        <v>6.0600000000000005</v>
      </c>
      <c r="DW231" s="170">
        <f>CI31</f>
        <v>37.82</v>
      </c>
      <c r="DX231" s="93" t="e">
        <f>DT231+DU231+DV231+DW231</f>
        <v>#REF!</v>
      </c>
      <c r="DY231" s="94" t="e">
        <f t="shared" si="49"/>
        <v>#REF!</v>
      </c>
      <c r="DZ231" s="93" t="e">
        <f t="shared" si="50"/>
        <v>#REF!</v>
      </c>
      <c r="EA231" s="123" t="e">
        <f t="shared" ref="EA231:EA234" si="65">ROUND(DZ231*10.764/1,0)*1</f>
        <v>#REF!</v>
      </c>
      <c r="EB231" s="184" t="e">
        <f t="shared" ref="EB231:EB234" si="66">(EA231*$ED$54)/$EC$54</f>
        <v>#REF!</v>
      </c>
      <c r="EC231" s="96" t="e">
        <f t="shared" si="48"/>
        <v>#REF!</v>
      </c>
    </row>
    <row r="232" spans="115:133" ht="24.95" customHeight="1" x14ac:dyDescent="0.25">
      <c r="DL232" s="54">
        <v>74</v>
      </c>
      <c r="DM232" s="188" t="s">
        <v>378</v>
      </c>
      <c r="DN232" s="54"/>
      <c r="DO232" s="54"/>
      <c r="DP232" s="54"/>
      <c r="DQ232" s="54"/>
      <c r="DR232" s="54"/>
      <c r="DS232" s="54"/>
      <c r="DT232" s="19">
        <f>CI65</f>
        <v>644</v>
      </c>
      <c r="DU232" s="20">
        <f>DU231</f>
        <v>60.88</v>
      </c>
      <c r="DV232" s="187">
        <f>CI51/4</f>
        <v>6.0600000000000005</v>
      </c>
      <c r="DW232" s="170">
        <f>CI33</f>
        <v>37.82</v>
      </c>
      <c r="DX232" s="93">
        <f>DT232+DU232+DV232+DW232</f>
        <v>748.76</v>
      </c>
      <c r="DY232" s="94">
        <f t="shared" si="49"/>
        <v>249.58666666666667</v>
      </c>
      <c r="DZ232" s="93">
        <f t="shared" si="50"/>
        <v>998.34666666666669</v>
      </c>
      <c r="EA232" s="123">
        <f t="shared" si="65"/>
        <v>10746</v>
      </c>
      <c r="EB232" s="184" t="e">
        <f t="shared" si="66"/>
        <v>#REF!</v>
      </c>
      <c r="EC232" s="96" t="e">
        <f t="shared" si="48"/>
        <v>#REF!</v>
      </c>
    </row>
    <row r="233" spans="115:133" ht="24.95" customHeight="1" x14ac:dyDescent="0.25">
      <c r="DL233" s="54">
        <v>75</v>
      </c>
      <c r="DM233" s="188" t="s">
        <v>379</v>
      </c>
      <c r="DN233" s="54"/>
      <c r="DO233" s="54"/>
      <c r="DP233" s="54"/>
      <c r="DQ233" s="54"/>
      <c r="DR233" s="54"/>
      <c r="DS233" s="54"/>
      <c r="DT233" s="154">
        <f>CI67</f>
        <v>808.66</v>
      </c>
      <c r="DU233" s="20">
        <f>CI58/2</f>
        <v>60.88</v>
      </c>
      <c r="DV233" s="187">
        <f>CI51/4</f>
        <v>6.0600000000000005</v>
      </c>
      <c r="DW233" s="170">
        <f>CI35</f>
        <v>37.82</v>
      </c>
      <c r="DX233" s="93">
        <f>DT233+DU233+DV233+DW233</f>
        <v>913.42</v>
      </c>
      <c r="DY233" s="94">
        <f t="shared" si="49"/>
        <v>304.4733333333333</v>
      </c>
      <c r="DZ233" s="93">
        <f t="shared" si="50"/>
        <v>1217.8933333333332</v>
      </c>
      <c r="EA233" s="123">
        <f t="shared" si="65"/>
        <v>13109</v>
      </c>
      <c r="EB233" s="184" t="e">
        <f t="shared" si="66"/>
        <v>#REF!</v>
      </c>
      <c r="EC233" s="96" t="e">
        <f t="shared" si="48"/>
        <v>#REF!</v>
      </c>
    </row>
    <row r="234" spans="115:133" ht="24.95" customHeight="1" x14ac:dyDescent="0.25">
      <c r="DL234" s="54">
        <v>76</v>
      </c>
      <c r="DM234" s="188" t="s">
        <v>380</v>
      </c>
      <c r="DN234" s="54"/>
      <c r="DO234" s="54"/>
      <c r="DP234" s="54"/>
      <c r="DQ234" s="54"/>
      <c r="DR234" s="54"/>
      <c r="DS234" s="54"/>
      <c r="DT234" s="154" t="e">
        <f>#REF!</f>
        <v>#REF!</v>
      </c>
      <c r="DU234" s="20">
        <f>DU233</f>
        <v>60.88</v>
      </c>
      <c r="DV234" s="187">
        <f>CI51/4</f>
        <v>6.0600000000000005</v>
      </c>
      <c r="DW234" s="170">
        <f>CI37</f>
        <v>37.82</v>
      </c>
      <c r="DX234" s="93" t="e">
        <f>DT234+DU234+DV234+DW234</f>
        <v>#REF!</v>
      </c>
      <c r="DY234" s="94" t="e">
        <f t="shared" si="49"/>
        <v>#REF!</v>
      </c>
      <c r="DZ234" s="93" t="e">
        <f t="shared" si="50"/>
        <v>#REF!</v>
      </c>
      <c r="EA234" s="123" t="e">
        <f t="shared" si="65"/>
        <v>#REF!</v>
      </c>
      <c r="EB234" s="184" t="e">
        <f t="shared" si="66"/>
        <v>#REF!</v>
      </c>
      <c r="EC234" s="96" t="e">
        <f t="shared" si="48"/>
        <v>#REF!</v>
      </c>
    </row>
    <row r="235" spans="115:133" ht="24.95" customHeight="1" x14ac:dyDescent="0.25">
      <c r="DL235" s="54"/>
      <c r="DM235" s="39" t="s">
        <v>12</v>
      </c>
      <c r="DN235" s="54"/>
      <c r="DO235" s="54"/>
      <c r="DP235" s="54"/>
      <c r="DQ235" s="54"/>
      <c r="DR235" s="54"/>
      <c r="DS235" s="54"/>
      <c r="DT235" s="154"/>
      <c r="DU235" s="20"/>
      <c r="DV235" s="187"/>
      <c r="DW235" s="170"/>
      <c r="DX235" s="93"/>
      <c r="DY235" s="94"/>
      <c r="DZ235" s="93"/>
      <c r="EA235" s="208" t="e">
        <f>SUM(EA231:EA234)</f>
        <v>#REF!</v>
      </c>
      <c r="EB235" s="185"/>
      <c r="EC235" s="96">
        <f t="shared" si="48"/>
        <v>0</v>
      </c>
    </row>
    <row r="236" spans="115:133" ht="24.95" customHeight="1" x14ac:dyDescent="0.25">
      <c r="DL236" s="54"/>
      <c r="DM236" s="39" t="s">
        <v>381</v>
      </c>
      <c r="DN236" s="54"/>
      <c r="DO236" s="54"/>
      <c r="DP236" s="54"/>
      <c r="DQ236" s="54"/>
      <c r="DR236" s="54"/>
      <c r="DS236" s="54"/>
      <c r="DT236" s="154"/>
      <c r="DU236" s="20"/>
      <c r="DV236" s="187"/>
      <c r="DW236" s="170"/>
      <c r="DX236" s="93"/>
      <c r="DY236" s="94"/>
      <c r="DZ236" s="93"/>
      <c r="EA236" s="86"/>
      <c r="EB236" s="185"/>
      <c r="EC236" s="96">
        <f t="shared" si="48"/>
        <v>0</v>
      </c>
    </row>
    <row r="237" spans="115:133" ht="24.95" customHeight="1" x14ac:dyDescent="0.25">
      <c r="DK237" s="48"/>
      <c r="DL237" s="54">
        <v>77</v>
      </c>
      <c r="DM237" s="188" t="s">
        <v>382</v>
      </c>
      <c r="DN237" s="54">
        <v>2943.63</v>
      </c>
      <c r="DO237" s="54">
        <v>208.39</v>
      </c>
      <c r="DP237" s="54">
        <v>18.39</v>
      </c>
      <c r="DQ237" s="54"/>
      <c r="DR237" s="54">
        <v>134.99</v>
      </c>
      <c r="DS237" s="54">
        <f>DN237+DO237+DP237+DQ237+DR237</f>
        <v>3305.3999999999996</v>
      </c>
      <c r="DT237" s="154" t="e">
        <f>#REF!</f>
        <v>#REF!</v>
      </c>
      <c r="DU237" s="20">
        <f>CL56/2</f>
        <v>60.88</v>
      </c>
      <c r="DV237" s="187">
        <f>CL51/4</f>
        <v>6.0600000000000005</v>
      </c>
      <c r="DW237" s="170">
        <f>CL31</f>
        <v>37.82</v>
      </c>
      <c r="DX237" s="93" t="e">
        <f>DT237+DU237+DV237+DW237</f>
        <v>#REF!</v>
      </c>
      <c r="DY237" s="94" t="e">
        <f t="shared" si="49"/>
        <v>#REF!</v>
      </c>
      <c r="DZ237" s="93" t="e">
        <f t="shared" si="50"/>
        <v>#REF!</v>
      </c>
      <c r="EA237" s="123" t="e">
        <f t="shared" ref="EA237:EA240" si="67">ROUND(DZ237*10.764/1,0)*1</f>
        <v>#REF!</v>
      </c>
      <c r="EB237" s="184" t="e">
        <f t="shared" ref="EB237:EB240" si="68">(EA237*$ED$54)/$EC$54</f>
        <v>#REF!</v>
      </c>
      <c r="EC237" s="96" t="e">
        <f t="shared" si="48"/>
        <v>#REF!</v>
      </c>
    </row>
    <row r="238" spans="115:133" ht="24.95" customHeight="1" x14ac:dyDescent="0.25">
      <c r="DL238" s="54">
        <v>78</v>
      </c>
      <c r="DM238" s="188" t="s">
        <v>383</v>
      </c>
      <c r="DN238" s="54"/>
      <c r="DO238" s="54"/>
      <c r="DP238" s="54"/>
      <c r="DQ238" s="54"/>
      <c r="DR238" s="54"/>
      <c r="DS238" s="54"/>
      <c r="DT238" s="154">
        <f>CL65</f>
        <v>589.34</v>
      </c>
      <c r="DU238" s="20">
        <f>DU237</f>
        <v>60.88</v>
      </c>
      <c r="DV238" s="187">
        <f>CL51/4</f>
        <v>6.0600000000000005</v>
      </c>
      <c r="DW238" s="170">
        <f>CL33</f>
        <v>37.82</v>
      </c>
      <c r="DX238" s="93">
        <f>DT238+DU238+DV238+DW238</f>
        <v>694.1</v>
      </c>
      <c r="DY238" s="94">
        <f t="shared" si="49"/>
        <v>231.36666666666667</v>
      </c>
      <c r="DZ238" s="93">
        <f t="shared" si="50"/>
        <v>925.4666666666667</v>
      </c>
      <c r="EA238" s="123">
        <f t="shared" si="67"/>
        <v>9962</v>
      </c>
      <c r="EB238" s="184" t="e">
        <f t="shared" si="68"/>
        <v>#REF!</v>
      </c>
      <c r="EC238" s="96" t="e">
        <f t="shared" si="48"/>
        <v>#REF!</v>
      </c>
    </row>
    <row r="239" spans="115:133" ht="24.95" customHeight="1" x14ac:dyDescent="0.25">
      <c r="DL239" s="54">
        <v>79</v>
      </c>
      <c r="DM239" s="188" t="s">
        <v>384</v>
      </c>
      <c r="DN239" s="54"/>
      <c r="DO239" s="54"/>
      <c r="DP239" s="54"/>
      <c r="DQ239" s="54"/>
      <c r="DR239" s="54"/>
      <c r="DS239" s="54"/>
      <c r="DT239" s="154">
        <f>CL67</f>
        <v>754.02</v>
      </c>
      <c r="DU239" s="20">
        <f>CL58/2</f>
        <v>60.88</v>
      </c>
      <c r="DV239" s="187">
        <f>CL51/4</f>
        <v>6.0600000000000005</v>
      </c>
      <c r="DW239" s="170">
        <f>CL35</f>
        <v>37.82</v>
      </c>
      <c r="DX239" s="93">
        <f>DT239+DU239+DV239+DW239</f>
        <v>858.78</v>
      </c>
      <c r="DY239" s="94">
        <f t="shared" si="49"/>
        <v>286.26</v>
      </c>
      <c r="DZ239" s="93">
        <f t="shared" si="50"/>
        <v>1145.04</v>
      </c>
      <c r="EA239" s="123">
        <f t="shared" si="67"/>
        <v>12325</v>
      </c>
      <c r="EB239" s="184" t="e">
        <f t="shared" si="68"/>
        <v>#REF!</v>
      </c>
      <c r="EC239" s="96" t="e">
        <f t="shared" si="48"/>
        <v>#REF!</v>
      </c>
    </row>
    <row r="240" spans="115:133" ht="24.95" customHeight="1" x14ac:dyDescent="0.25">
      <c r="DL240" s="54">
        <v>80</v>
      </c>
      <c r="DM240" s="188" t="s">
        <v>385</v>
      </c>
      <c r="DN240" s="54"/>
      <c r="DO240" s="54"/>
      <c r="DP240" s="54"/>
      <c r="DQ240" s="54"/>
      <c r="DR240" s="54"/>
      <c r="DS240" s="54"/>
      <c r="DT240" s="154" t="e">
        <f>#REF!</f>
        <v>#REF!</v>
      </c>
      <c r="DU240" s="20">
        <f>DU239</f>
        <v>60.88</v>
      </c>
      <c r="DV240" s="187">
        <f>CL51/4</f>
        <v>6.0600000000000005</v>
      </c>
      <c r="DW240" s="170">
        <f>CL37</f>
        <v>37.82</v>
      </c>
      <c r="DX240" s="93" t="e">
        <f>DT240+DU240+DV240+DW240</f>
        <v>#REF!</v>
      </c>
      <c r="DY240" s="94" t="e">
        <f t="shared" si="49"/>
        <v>#REF!</v>
      </c>
      <c r="DZ240" s="93" t="e">
        <f t="shared" si="50"/>
        <v>#REF!</v>
      </c>
      <c r="EA240" s="123" t="e">
        <f t="shared" si="67"/>
        <v>#REF!</v>
      </c>
      <c r="EB240" s="184" t="e">
        <f t="shared" si="68"/>
        <v>#REF!</v>
      </c>
      <c r="EC240" s="96" t="e">
        <f t="shared" si="48"/>
        <v>#REF!</v>
      </c>
    </row>
    <row r="241" spans="116:158" ht="24.95" customHeight="1" x14ac:dyDescent="0.25">
      <c r="DL241" s="54"/>
      <c r="DM241" s="39" t="s">
        <v>12</v>
      </c>
      <c r="DN241" s="54"/>
      <c r="DO241" s="54"/>
      <c r="DP241" s="54"/>
      <c r="DQ241" s="54"/>
      <c r="DR241" s="54"/>
      <c r="DS241" s="54"/>
      <c r="DT241" s="154"/>
      <c r="DU241" s="20"/>
      <c r="DV241" s="187"/>
      <c r="DW241" s="170"/>
      <c r="DX241" s="93"/>
      <c r="DY241" s="94"/>
      <c r="DZ241" s="93"/>
      <c r="EA241" s="208" t="e">
        <f>SUM(EA237:EA240)</f>
        <v>#REF!</v>
      </c>
      <c r="EB241" s="185"/>
      <c r="EC241" s="96">
        <f t="shared" si="48"/>
        <v>0</v>
      </c>
    </row>
    <row r="242" spans="116:158" ht="24.95" customHeight="1" x14ac:dyDescent="0.25">
      <c r="DL242" s="54"/>
      <c r="DM242" s="39" t="s">
        <v>390</v>
      </c>
      <c r="DN242" s="54"/>
      <c r="DO242" s="54"/>
      <c r="DP242" s="54"/>
      <c r="DQ242" s="54"/>
      <c r="DR242" s="54"/>
      <c r="DS242" s="54"/>
      <c r="DT242" s="154"/>
      <c r="DU242" s="20"/>
      <c r="DV242" s="187"/>
      <c r="DW242" s="170"/>
      <c r="DX242" s="93"/>
      <c r="DY242" s="94"/>
      <c r="DZ242" s="93"/>
      <c r="EA242" s="86"/>
      <c r="EB242" s="185"/>
      <c r="EC242" s="96">
        <f t="shared" si="48"/>
        <v>0</v>
      </c>
    </row>
    <row r="243" spans="116:158" ht="24.95" customHeight="1" x14ac:dyDescent="0.25">
      <c r="DL243" s="54">
        <v>81</v>
      </c>
      <c r="DM243" s="188" t="s">
        <v>386</v>
      </c>
      <c r="DN243" s="54">
        <v>2684.19</v>
      </c>
      <c r="DO243" s="54">
        <v>208.39</v>
      </c>
      <c r="DP243" s="54">
        <v>18.39</v>
      </c>
      <c r="DQ243" s="54"/>
      <c r="DR243" s="54">
        <v>134.99</v>
      </c>
      <c r="DS243" s="54">
        <f>DN243+DO243+DP243+DQ243+DR243</f>
        <v>3045.96</v>
      </c>
      <c r="DT243" s="19" t="e">
        <f>#REF!</f>
        <v>#REF!</v>
      </c>
      <c r="DU243" s="20">
        <f>CO56/2</f>
        <v>60.88</v>
      </c>
      <c r="DV243" s="187">
        <f>CO51/4</f>
        <v>6.0600000000000005</v>
      </c>
      <c r="DW243" s="170">
        <f>CO31</f>
        <v>37.82</v>
      </c>
      <c r="DX243" s="93" t="e">
        <f>DT243+DU243+DV243+DW243</f>
        <v>#REF!</v>
      </c>
      <c r="DY243" s="94" t="e">
        <f t="shared" si="49"/>
        <v>#REF!</v>
      </c>
      <c r="DZ243" s="93" t="e">
        <f t="shared" si="50"/>
        <v>#REF!</v>
      </c>
      <c r="EA243" s="123" t="e">
        <f t="shared" ref="EA243:EA246" si="69">ROUND(DZ243*10.764/1,0)*1</f>
        <v>#REF!</v>
      </c>
      <c r="EB243" s="184" t="e">
        <f t="shared" ref="EB243:EB246" si="70">(EA243*$ED$54)/$EC$54</f>
        <v>#REF!</v>
      </c>
      <c r="EC243" s="96" t="e">
        <f t="shared" si="48"/>
        <v>#REF!</v>
      </c>
    </row>
    <row r="244" spans="116:158" ht="24.95" customHeight="1" x14ac:dyDescent="0.25">
      <c r="DL244" s="54">
        <v>82</v>
      </c>
      <c r="DM244" s="188" t="s">
        <v>387</v>
      </c>
      <c r="DN244" s="54"/>
      <c r="DO244" s="54"/>
      <c r="DP244" s="54"/>
      <c r="DQ244" s="54"/>
      <c r="DR244" s="54"/>
      <c r="DS244" s="54"/>
      <c r="DT244" s="154">
        <f>CO65</f>
        <v>584.91999999999996</v>
      </c>
      <c r="DU244" s="20">
        <f>DU243</f>
        <v>60.88</v>
      </c>
      <c r="DV244" s="187">
        <f>CO51/4</f>
        <v>6.0600000000000005</v>
      </c>
      <c r="DW244" s="170">
        <f>CO33</f>
        <v>37.82</v>
      </c>
      <c r="DX244" s="93">
        <f>DT244+DU244+DV244+DW244</f>
        <v>689.68</v>
      </c>
      <c r="DY244" s="94">
        <f t="shared" si="49"/>
        <v>229.89333333333332</v>
      </c>
      <c r="DZ244" s="93">
        <f t="shared" si="50"/>
        <v>919.57333333333327</v>
      </c>
      <c r="EA244" s="123">
        <f t="shared" si="69"/>
        <v>9898</v>
      </c>
      <c r="EB244" s="184" t="e">
        <f t="shared" si="70"/>
        <v>#REF!</v>
      </c>
      <c r="EC244" s="96" t="e">
        <f t="shared" si="48"/>
        <v>#REF!</v>
      </c>
    </row>
    <row r="245" spans="116:158" ht="24.95" customHeight="1" x14ac:dyDescent="0.25">
      <c r="DL245" s="54">
        <v>83</v>
      </c>
      <c r="DM245" s="188" t="s">
        <v>388</v>
      </c>
      <c r="DN245" s="54"/>
      <c r="DO245" s="54"/>
      <c r="DP245" s="54"/>
      <c r="DQ245" s="54"/>
      <c r="DR245" s="54"/>
      <c r="DS245" s="54"/>
      <c r="DT245" s="154">
        <f>CO67</f>
        <v>624.32000000000005</v>
      </c>
      <c r="DU245" s="20">
        <f>CO58/2</f>
        <v>60.88</v>
      </c>
      <c r="DV245" s="187">
        <f>CO51/4</f>
        <v>6.0600000000000005</v>
      </c>
      <c r="DW245" s="170">
        <f>CO35</f>
        <v>37.82</v>
      </c>
      <c r="DX245" s="93">
        <f>DT245+DU245+DV245+DW245</f>
        <v>729.08</v>
      </c>
      <c r="DY245" s="94">
        <f t="shared" si="49"/>
        <v>243.02666666666667</v>
      </c>
      <c r="DZ245" s="93">
        <f t="shared" si="50"/>
        <v>972.10666666666668</v>
      </c>
      <c r="EA245" s="123">
        <f t="shared" si="69"/>
        <v>10464</v>
      </c>
      <c r="EB245" s="184" t="e">
        <f t="shared" si="70"/>
        <v>#REF!</v>
      </c>
      <c r="EC245" s="96" t="e">
        <f t="shared" si="48"/>
        <v>#REF!</v>
      </c>
    </row>
    <row r="246" spans="116:158" ht="24.95" customHeight="1" x14ac:dyDescent="0.25">
      <c r="DL246" s="54">
        <v>84</v>
      </c>
      <c r="DM246" s="188" t="s">
        <v>389</v>
      </c>
      <c r="DN246" s="54"/>
      <c r="DO246" s="54"/>
      <c r="DP246" s="54"/>
      <c r="DQ246" s="54"/>
      <c r="DR246" s="54"/>
      <c r="DS246" s="54"/>
      <c r="DT246" s="154" t="e">
        <f>#REF!</f>
        <v>#REF!</v>
      </c>
      <c r="DU246" s="20">
        <f>DU245</f>
        <v>60.88</v>
      </c>
      <c r="DV246" s="187">
        <f>CO51/4</f>
        <v>6.0600000000000005</v>
      </c>
      <c r="DW246" s="170">
        <f>CO37</f>
        <v>37.82</v>
      </c>
      <c r="DX246" s="93" t="e">
        <f>DT246+DU246+DV246+DW246</f>
        <v>#REF!</v>
      </c>
      <c r="DY246" s="94" t="e">
        <f t="shared" si="49"/>
        <v>#REF!</v>
      </c>
      <c r="DZ246" s="93" t="e">
        <f t="shared" si="50"/>
        <v>#REF!</v>
      </c>
      <c r="EA246" s="123" t="e">
        <f t="shared" si="69"/>
        <v>#REF!</v>
      </c>
      <c r="EB246" s="184" t="e">
        <f t="shared" si="70"/>
        <v>#REF!</v>
      </c>
      <c r="EC246" s="96" t="e">
        <f t="shared" si="48"/>
        <v>#REF!</v>
      </c>
    </row>
    <row r="247" spans="116:158" ht="24.95" customHeight="1" x14ac:dyDescent="0.25">
      <c r="DL247" s="54"/>
      <c r="DM247" s="39" t="s">
        <v>12</v>
      </c>
      <c r="DN247" s="54"/>
      <c r="DO247" s="54"/>
      <c r="DP247" s="54"/>
      <c r="DQ247" s="54"/>
      <c r="DR247" s="54"/>
      <c r="DS247" s="54"/>
      <c r="DT247" s="154"/>
      <c r="DU247" s="20"/>
      <c r="DV247" s="187"/>
      <c r="DW247" s="170"/>
      <c r="DX247" s="93"/>
      <c r="DY247" s="94"/>
      <c r="DZ247" s="93"/>
      <c r="EA247" s="208" t="e">
        <f>SUM(EA243:EA246)</f>
        <v>#REF!</v>
      </c>
      <c r="EB247" s="185"/>
      <c r="EC247" s="96">
        <f t="shared" si="48"/>
        <v>0</v>
      </c>
    </row>
    <row r="248" spans="116:158" ht="24.95" customHeight="1" x14ac:dyDescent="0.25">
      <c r="DL248" s="54"/>
      <c r="DM248" s="39" t="s">
        <v>391</v>
      </c>
      <c r="DN248" s="54"/>
      <c r="DO248" s="54"/>
      <c r="DP248" s="54"/>
      <c r="DQ248" s="54"/>
      <c r="DR248" s="54"/>
      <c r="DS248" s="54"/>
      <c r="DT248" s="154"/>
      <c r="DU248" s="20"/>
      <c r="DV248" s="187"/>
      <c r="DW248" s="170"/>
      <c r="DX248" s="93"/>
      <c r="DY248" s="94"/>
      <c r="DZ248" s="93"/>
      <c r="EA248" s="86"/>
      <c r="EB248" s="185"/>
      <c r="EC248" s="96">
        <f t="shared" si="48"/>
        <v>0</v>
      </c>
      <c r="EE248" s="58"/>
      <c r="EG248" s="173"/>
      <c r="EH248" s="173"/>
      <c r="EI248" s="173"/>
      <c r="EJ248" s="173"/>
      <c r="EK248" s="173"/>
      <c r="EL248" s="266"/>
      <c r="EM248" s="267"/>
      <c r="EN248" s="267"/>
      <c r="EO248" s="173"/>
      <c r="EP248" s="173"/>
      <c r="EQ248" s="268"/>
    </row>
    <row r="249" spans="116:158" ht="24.95" customHeight="1" x14ac:dyDescent="0.25">
      <c r="DL249" s="54">
        <v>85</v>
      </c>
      <c r="DM249" s="188" t="s">
        <v>392</v>
      </c>
      <c r="DN249" s="54">
        <v>3058.83</v>
      </c>
      <c r="DO249" s="54">
        <v>208.39</v>
      </c>
      <c r="DP249" s="54">
        <v>18.39</v>
      </c>
      <c r="DQ249" s="54"/>
      <c r="DR249" s="54">
        <v>134.99</v>
      </c>
      <c r="DS249" s="54">
        <f>DN249+DO249+DP249+DQ249+DR249</f>
        <v>3420.5999999999995</v>
      </c>
      <c r="DT249" s="154" t="e">
        <f>#REF!</f>
        <v>#REF!</v>
      </c>
      <c r="DU249" s="20">
        <f>CR56/2</f>
        <v>60.88</v>
      </c>
      <c r="DV249" s="187">
        <f>CR51/4</f>
        <v>6.0600000000000005</v>
      </c>
      <c r="DW249" s="170">
        <f>CR31</f>
        <v>37.82</v>
      </c>
      <c r="DX249" s="93" t="e">
        <f>DT249+DU249+DV249+DW249</f>
        <v>#REF!</v>
      </c>
      <c r="DY249" s="94" t="e">
        <f t="shared" si="49"/>
        <v>#REF!</v>
      </c>
      <c r="DZ249" s="93" t="e">
        <f t="shared" si="50"/>
        <v>#REF!</v>
      </c>
      <c r="EA249" s="123" t="e">
        <f t="shared" ref="EA249:EA252" si="71">ROUND(DZ249*10.764/1,0)*1</f>
        <v>#REF!</v>
      </c>
      <c r="EB249" s="184" t="e">
        <f t="shared" ref="EB249:EB252" si="72">(EA249*$ED$54)/$EC$54</f>
        <v>#REF!</v>
      </c>
      <c r="EC249" s="96" t="e">
        <f t="shared" si="48"/>
        <v>#REF!</v>
      </c>
      <c r="EE249" s="269"/>
      <c r="EF249" s="269"/>
      <c r="EG249" s="270"/>
      <c r="EH249" s="71"/>
      <c r="EI249" s="71"/>
      <c r="EJ249" s="71"/>
      <c r="EK249" s="71"/>
      <c r="EL249" s="71"/>
      <c r="EM249" s="71"/>
      <c r="EN249" s="71"/>
      <c r="EO249" s="71"/>
      <c r="EP249" s="71"/>
      <c r="EQ249" s="271"/>
    </row>
    <row r="250" spans="116:158" ht="24.95" customHeight="1" x14ac:dyDescent="0.25">
      <c r="DL250" s="54">
        <v>86</v>
      </c>
      <c r="DM250" s="188" t="s">
        <v>393</v>
      </c>
      <c r="DN250" s="54"/>
      <c r="DO250" s="54"/>
      <c r="DP250" s="54"/>
      <c r="DQ250" s="54"/>
      <c r="DR250" s="54"/>
      <c r="DS250" s="54"/>
      <c r="DT250" s="154">
        <f>CR65</f>
        <v>589.34</v>
      </c>
      <c r="DU250" s="20">
        <f>DU249</f>
        <v>60.88</v>
      </c>
      <c r="DV250" s="187">
        <f>CR51/4</f>
        <v>6.0600000000000005</v>
      </c>
      <c r="DW250" s="170">
        <f>CR33</f>
        <v>37.82</v>
      </c>
      <c r="DX250" s="93">
        <f>DT250+DU250+DV250+DW250</f>
        <v>694.1</v>
      </c>
      <c r="DY250" s="94">
        <f t="shared" si="49"/>
        <v>231.36666666666667</v>
      </c>
      <c r="DZ250" s="93">
        <f t="shared" si="50"/>
        <v>925.4666666666667</v>
      </c>
      <c r="EA250" s="123">
        <f t="shared" si="71"/>
        <v>9962</v>
      </c>
      <c r="EB250" s="184" t="e">
        <f t="shared" si="72"/>
        <v>#REF!</v>
      </c>
      <c r="EC250" s="96" t="e">
        <f t="shared" ref="EC250:EC280" si="73">EB250/10.764</f>
        <v>#REF!</v>
      </c>
      <c r="EG250" s="58"/>
      <c r="EH250" s="95"/>
      <c r="EI250" s="95"/>
      <c r="EJ250" s="95"/>
      <c r="EK250" s="95"/>
      <c r="EL250" s="70"/>
      <c r="EM250" s="70"/>
      <c r="EN250" s="70"/>
      <c r="EO250" s="95"/>
      <c r="EP250" s="95"/>
      <c r="EQ250" s="127"/>
    </row>
    <row r="251" spans="116:158" ht="24.95" customHeight="1" x14ac:dyDescent="0.25">
      <c r="DL251" s="54">
        <v>87</v>
      </c>
      <c r="DM251" s="188" t="s">
        <v>394</v>
      </c>
      <c r="DN251" s="54"/>
      <c r="DO251" s="54"/>
      <c r="DP251" s="54"/>
      <c r="DQ251" s="54"/>
      <c r="DR251" s="54"/>
      <c r="DS251" s="54"/>
      <c r="DT251" s="154">
        <f>CR67</f>
        <v>754.02</v>
      </c>
      <c r="DU251" s="20">
        <f>CR58/2</f>
        <v>60.88</v>
      </c>
      <c r="DV251" s="187">
        <f>CR51/4</f>
        <v>6.0600000000000005</v>
      </c>
      <c r="DW251" s="170">
        <f>CR35</f>
        <v>37.82</v>
      </c>
      <c r="DX251" s="93">
        <f>DT251+DU251+DV251+DW251</f>
        <v>858.78</v>
      </c>
      <c r="DY251" s="94">
        <f t="shared" si="49"/>
        <v>286.26</v>
      </c>
      <c r="DZ251" s="93">
        <f t="shared" si="50"/>
        <v>1145.04</v>
      </c>
      <c r="EA251" s="123">
        <f t="shared" si="71"/>
        <v>12325</v>
      </c>
      <c r="EB251" s="184" t="e">
        <f t="shared" si="72"/>
        <v>#REF!</v>
      </c>
      <c r="EC251" s="96" t="e">
        <f t="shared" si="73"/>
        <v>#REF!</v>
      </c>
    </row>
    <row r="252" spans="116:158" ht="24.95" customHeight="1" x14ac:dyDescent="0.25">
      <c r="DL252" s="54">
        <v>88</v>
      </c>
      <c r="DM252" s="188" t="s">
        <v>395</v>
      </c>
      <c r="DN252" s="54"/>
      <c r="DO252" s="54"/>
      <c r="DP252" s="54"/>
      <c r="DQ252" s="54"/>
      <c r="DR252" s="54"/>
      <c r="DS252" s="54"/>
      <c r="DT252" s="19" t="e">
        <f>#REF!</f>
        <v>#REF!</v>
      </c>
      <c r="DU252" s="20">
        <f>DU251</f>
        <v>60.88</v>
      </c>
      <c r="DV252" s="187">
        <f>CR51/4</f>
        <v>6.0600000000000005</v>
      </c>
      <c r="DW252" s="170">
        <f>CR37</f>
        <v>37.82</v>
      </c>
      <c r="DX252" s="93" t="e">
        <f>DT252+DU252+DV252+DW252</f>
        <v>#REF!</v>
      </c>
      <c r="DY252" s="94" t="e">
        <f t="shared" si="49"/>
        <v>#REF!</v>
      </c>
      <c r="DZ252" s="93" t="e">
        <f t="shared" si="50"/>
        <v>#REF!</v>
      </c>
      <c r="EA252" s="123" t="e">
        <f t="shared" si="71"/>
        <v>#REF!</v>
      </c>
      <c r="EB252" s="184" t="e">
        <f t="shared" si="72"/>
        <v>#REF!</v>
      </c>
      <c r="EC252" s="96" t="e">
        <f t="shared" si="73"/>
        <v>#REF!</v>
      </c>
      <c r="EF252" s="58"/>
      <c r="EH252" s="96"/>
      <c r="EI252" s="96"/>
      <c r="EJ252" s="96"/>
      <c r="EK252" s="96"/>
      <c r="EL252" s="41"/>
      <c r="EM252" s="41"/>
      <c r="EN252" s="41"/>
      <c r="EO252" s="96"/>
      <c r="EP252" s="96"/>
    </row>
    <row r="253" spans="116:158" ht="24.95" customHeight="1" x14ac:dyDescent="0.25">
      <c r="DL253" s="54"/>
      <c r="DM253" s="39" t="s">
        <v>12</v>
      </c>
      <c r="DN253" s="54"/>
      <c r="DO253" s="54"/>
      <c r="DP253" s="54"/>
      <c r="DQ253" s="54"/>
      <c r="DR253" s="54"/>
      <c r="DS253" s="54"/>
      <c r="DT253" s="154"/>
      <c r="DU253" s="20"/>
      <c r="DV253" s="187"/>
      <c r="DW253" s="170"/>
      <c r="DX253" s="93"/>
      <c r="DY253" s="94"/>
      <c r="DZ253" s="93"/>
      <c r="EA253" s="208" t="e">
        <f>SUM(EA249:EA252)</f>
        <v>#REF!</v>
      </c>
      <c r="EB253" s="185"/>
      <c r="EC253" s="96">
        <f t="shared" si="73"/>
        <v>0</v>
      </c>
    </row>
    <row r="254" spans="116:158" ht="24.95" customHeight="1" x14ac:dyDescent="0.25">
      <c r="DL254" s="54"/>
      <c r="DM254" s="39" t="s">
        <v>396</v>
      </c>
      <c r="DN254" s="54"/>
      <c r="DO254" s="54"/>
      <c r="DP254" s="54"/>
      <c r="DQ254" s="54"/>
      <c r="DR254" s="54"/>
      <c r="DS254" s="54"/>
      <c r="DT254" s="154"/>
      <c r="DU254" s="20"/>
      <c r="DV254" s="187"/>
      <c r="DW254" s="170"/>
      <c r="DX254" s="93"/>
      <c r="DY254" s="94"/>
      <c r="DZ254" s="93"/>
      <c r="EA254" s="86"/>
      <c r="EB254" s="185"/>
      <c r="EC254" s="96">
        <f t="shared" si="73"/>
        <v>0</v>
      </c>
    </row>
    <row r="255" spans="116:158" ht="24.95" customHeight="1" x14ac:dyDescent="0.25">
      <c r="DL255" s="54">
        <v>89</v>
      </c>
      <c r="DM255" s="188" t="s">
        <v>397</v>
      </c>
      <c r="DN255" s="54">
        <v>3058.83</v>
      </c>
      <c r="DO255" s="54">
        <v>208.39</v>
      </c>
      <c r="DP255" s="54">
        <v>18.39</v>
      </c>
      <c r="DQ255" s="54"/>
      <c r="DR255" s="54">
        <v>134.99</v>
      </c>
      <c r="DS255" s="54">
        <f>DN255+DO255+DP255+DQ255+DR255</f>
        <v>3420.5999999999995</v>
      </c>
      <c r="DT255" s="154" t="e">
        <f>#REF!</f>
        <v>#REF!</v>
      </c>
      <c r="DU255" s="20">
        <f>CU56/2</f>
        <v>60.88</v>
      </c>
      <c r="DV255" s="187">
        <f>CU51/4</f>
        <v>6.0600000000000005</v>
      </c>
      <c r="DW255" s="170">
        <f>CU31</f>
        <v>37.82</v>
      </c>
      <c r="DX255" s="93" t="e">
        <f>DT255+DU255+DV255+DW255</f>
        <v>#REF!</v>
      </c>
      <c r="DY255" s="94" t="e">
        <f t="shared" ref="DY255:DY280" si="74">DX255/0.75*0.25</f>
        <v>#REF!</v>
      </c>
      <c r="DZ255" s="93" t="e">
        <f t="shared" ref="DZ255:DZ280" si="75">DX255+DY255</f>
        <v>#REF!</v>
      </c>
      <c r="EA255" s="123" t="e">
        <f t="shared" ref="EA255:EA258" si="76">ROUND(DZ255*10.764/1,0)*1</f>
        <v>#REF!</v>
      </c>
      <c r="EB255" s="184" t="e">
        <f t="shared" ref="EB255:EB258" si="77">(EA255*$ED$54)/$EC$54</f>
        <v>#REF!</v>
      </c>
      <c r="EC255" s="96" t="e">
        <f t="shared" si="73"/>
        <v>#REF!</v>
      </c>
    </row>
    <row r="256" spans="116:158" ht="24.95" customHeight="1" x14ac:dyDescent="0.25">
      <c r="DL256" s="54">
        <v>90</v>
      </c>
      <c r="DM256" s="188" t="s">
        <v>398</v>
      </c>
      <c r="DN256" s="54"/>
      <c r="DO256" s="54"/>
      <c r="DP256" s="54"/>
      <c r="DQ256" s="54"/>
      <c r="DR256" s="54"/>
      <c r="DS256" s="54"/>
      <c r="DT256" s="154">
        <f>CU65</f>
        <v>589.34</v>
      </c>
      <c r="DU256" s="20">
        <f>DU255</f>
        <v>60.88</v>
      </c>
      <c r="DV256" s="187">
        <f>CU51/4</f>
        <v>6.0600000000000005</v>
      </c>
      <c r="DW256" s="170">
        <f>CU33</f>
        <v>37.82</v>
      </c>
      <c r="DX256" s="93">
        <f>DT256+DU256+DV256+DW256</f>
        <v>694.1</v>
      </c>
      <c r="DY256" s="94">
        <f t="shared" si="74"/>
        <v>231.36666666666667</v>
      </c>
      <c r="DZ256" s="93">
        <f t="shared" si="75"/>
        <v>925.4666666666667</v>
      </c>
      <c r="EA256" s="123">
        <f t="shared" si="76"/>
        <v>9962</v>
      </c>
      <c r="EB256" s="184" t="e">
        <f t="shared" si="77"/>
        <v>#REF!</v>
      </c>
      <c r="EC256" s="96" t="e">
        <f t="shared" si="73"/>
        <v>#REF!</v>
      </c>
      <c r="EE256" s="272"/>
      <c r="EF256" s="40"/>
      <c r="EG256" s="40"/>
      <c r="ET256" s="78"/>
      <c r="FB256" s="55"/>
    </row>
    <row r="257" spans="24:160" ht="24.95" customHeight="1" x14ac:dyDescent="0.25">
      <c r="DL257" s="54">
        <v>91</v>
      </c>
      <c r="DM257" s="188" t="s">
        <v>399</v>
      </c>
      <c r="DN257" s="54"/>
      <c r="DO257" s="54"/>
      <c r="DP257" s="54"/>
      <c r="DQ257" s="54"/>
      <c r="DR257" s="54"/>
      <c r="DS257" s="54"/>
      <c r="DT257" s="154">
        <f>CU67</f>
        <v>754.02</v>
      </c>
      <c r="DU257" s="20">
        <f>CU58/2</f>
        <v>60.88</v>
      </c>
      <c r="DV257" s="187">
        <f>CU51/4</f>
        <v>6.0600000000000005</v>
      </c>
      <c r="DW257" s="170">
        <f>CU35</f>
        <v>37.82</v>
      </c>
      <c r="DX257" s="93">
        <f>DT257+DU257+DV257+DW257</f>
        <v>858.78</v>
      </c>
      <c r="DY257" s="94">
        <f t="shared" si="74"/>
        <v>286.26</v>
      </c>
      <c r="DZ257" s="93">
        <f t="shared" si="75"/>
        <v>1145.04</v>
      </c>
      <c r="EA257" s="123">
        <f t="shared" si="76"/>
        <v>12325</v>
      </c>
      <c r="EB257" s="184" t="e">
        <f t="shared" si="77"/>
        <v>#REF!</v>
      </c>
      <c r="EC257" s="96" t="e">
        <f t="shared" si="73"/>
        <v>#REF!</v>
      </c>
      <c r="EE257"/>
      <c r="EF257" s="40"/>
      <c r="EG257" s="40"/>
      <c r="ET257" s="78"/>
      <c r="FB257" s="55"/>
    </row>
    <row r="258" spans="24:160" ht="24.95" customHeight="1" x14ac:dyDescent="0.25">
      <c r="DL258" s="54">
        <v>92</v>
      </c>
      <c r="DM258" s="188" t="s">
        <v>400</v>
      </c>
      <c r="DN258" s="54"/>
      <c r="DO258" s="54"/>
      <c r="DP258" s="54"/>
      <c r="DQ258" s="54"/>
      <c r="DR258" s="54"/>
      <c r="DS258" s="54"/>
      <c r="DT258" s="19" t="e">
        <f>#REF!</f>
        <v>#REF!</v>
      </c>
      <c r="DU258" s="20">
        <f>DU257</f>
        <v>60.88</v>
      </c>
      <c r="DV258" s="187">
        <f>CU51/4</f>
        <v>6.0600000000000005</v>
      </c>
      <c r="DW258" s="170">
        <f>CU37</f>
        <v>37.82</v>
      </c>
      <c r="DX258" s="93" t="e">
        <f>DT258+DU258+DV258+DW258</f>
        <v>#REF!</v>
      </c>
      <c r="DY258" s="94" t="e">
        <f t="shared" si="74"/>
        <v>#REF!</v>
      </c>
      <c r="DZ258" s="93" t="e">
        <f t="shared" si="75"/>
        <v>#REF!</v>
      </c>
      <c r="EA258" s="123" t="e">
        <f t="shared" si="76"/>
        <v>#REF!</v>
      </c>
      <c r="EB258" s="184" t="e">
        <f t="shared" si="77"/>
        <v>#REF!</v>
      </c>
      <c r="EC258" s="96" t="e">
        <f t="shared" si="73"/>
        <v>#REF!</v>
      </c>
      <c r="EE258" s="58"/>
      <c r="EF258" s="40"/>
      <c r="EG258" s="173"/>
      <c r="EH258" s="173"/>
      <c r="EI258" s="173"/>
      <c r="EJ258" s="173"/>
      <c r="EK258" s="173"/>
      <c r="EL258" s="266"/>
      <c r="EM258" s="267"/>
      <c r="EN258" s="267"/>
      <c r="EO258" s="173"/>
      <c r="EP258" s="173"/>
      <c r="EQ258" s="268"/>
      <c r="ET258" s="77"/>
      <c r="EV258" s="289"/>
      <c r="EW258" s="289"/>
      <c r="EX258" s="289"/>
      <c r="EY258" s="289"/>
      <c r="EZ258" s="289"/>
    </row>
    <row r="259" spans="24:160" ht="24.95" customHeight="1" x14ac:dyDescent="0.25">
      <c r="DL259" s="54"/>
      <c r="DM259" s="39" t="s">
        <v>12</v>
      </c>
      <c r="DN259" s="54"/>
      <c r="DO259" s="54"/>
      <c r="DP259" s="54"/>
      <c r="DQ259" s="54"/>
      <c r="DR259" s="54"/>
      <c r="DS259" s="54"/>
      <c r="DT259" s="154"/>
      <c r="DU259" s="20"/>
      <c r="DV259" s="187"/>
      <c r="DW259" s="170"/>
      <c r="DX259" s="93"/>
      <c r="DY259" s="94"/>
      <c r="DZ259" s="93"/>
      <c r="EA259" s="208" t="e">
        <f>SUM(EA255:EA258)</f>
        <v>#REF!</v>
      </c>
      <c r="EB259" s="185"/>
      <c r="EC259" s="96">
        <f t="shared" si="73"/>
        <v>0</v>
      </c>
      <c r="EE259" s="70"/>
      <c r="EF259" s="70"/>
      <c r="EG259" s="71"/>
      <c r="EH259" s="71"/>
      <c r="EI259" s="71"/>
      <c r="EJ259" s="71"/>
      <c r="EK259" s="71"/>
      <c r="EL259" s="71"/>
      <c r="EM259" s="71"/>
      <c r="EN259" s="71"/>
      <c r="EO259" s="71"/>
      <c r="EP259" s="71"/>
      <c r="EQ259" s="271"/>
      <c r="ET259" s="70"/>
      <c r="EU259" s="70"/>
      <c r="EV259" s="71"/>
      <c r="EW259" s="71"/>
      <c r="EX259" s="71"/>
      <c r="EY259" s="71"/>
      <c r="EZ259" s="71"/>
      <c r="FA259" s="71"/>
      <c r="FB259" s="70"/>
      <c r="FC259" s="70"/>
      <c r="FD259" s="95"/>
    </row>
    <row r="260" spans="24:160" ht="24.95" customHeight="1" x14ac:dyDescent="0.25">
      <c r="DL260" s="54"/>
      <c r="DM260" s="39" t="s">
        <v>401</v>
      </c>
      <c r="DN260" s="54"/>
      <c r="DO260" s="54"/>
      <c r="DP260" s="54"/>
      <c r="DQ260" s="54"/>
      <c r="DR260" s="54"/>
      <c r="DS260" s="54"/>
      <c r="DT260" s="154"/>
      <c r="DU260" s="20"/>
      <c r="DV260" s="187"/>
      <c r="DW260" s="170"/>
      <c r="DX260" s="93"/>
      <c r="DY260" s="94"/>
      <c r="DZ260" s="93"/>
      <c r="EA260" s="93"/>
      <c r="EB260" s="185"/>
      <c r="EC260" s="96">
        <f t="shared" si="73"/>
        <v>0</v>
      </c>
      <c r="EE260" s="40"/>
      <c r="EF260" s="40"/>
      <c r="EG260" s="95"/>
      <c r="EH260" s="95"/>
      <c r="EI260" s="95"/>
      <c r="EJ260" s="95"/>
      <c r="EK260" s="95"/>
      <c r="EL260" s="70"/>
      <c r="EM260" s="70"/>
      <c r="EN260" s="70"/>
      <c r="EO260" s="95"/>
      <c r="EP260" s="95"/>
      <c r="EQ260" s="127"/>
      <c r="ET260" s="55"/>
      <c r="EU260" s="55"/>
      <c r="EV260" s="95"/>
      <c r="EW260" s="95"/>
      <c r="EX260" s="95"/>
      <c r="EY260" s="70"/>
      <c r="EZ260" s="193"/>
      <c r="FA260" s="95"/>
      <c r="FB260" s="95"/>
      <c r="FC260" s="95"/>
      <c r="FD260" s="95"/>
    </row>
    <row r="261" spans="24:160" ht="24.95" customHeight="1" x14ac:dyDescent="0.25">
      <c r="DL261" s="54">
        <v>93</v>
      </c>
      <c r="DM261" s="188" t="s">
        <v>402</v>
      </c>
      <c r="DN261" s="54">
        <v>2799.27</v>
      </c>
      <c r="DO261" s="54">
        <v>208.39</v>
      </c>
      <c r="DP261" s="54">
        <v>18.39</v>
      </c>
      <c r="DQ261" s="54"/>
      <c r="DR261" s="54">
        <v>134.99</v>
      </c>
      <c r="DS261" s="54">
        <f>DN261+DO261+DP261+DQ261+DR261</f>
        <v>3161.04</v>
      </c>
      <c r="DT261" s="19" t="e">
        <f>#REF!</f>
        <v>#REF!</v>
      </c>
      <c r="DU261" s="20">
        <f>CX56/2</f>
        <v>60.88</v>
      </c>
      <c r="DV261" s="187">
        <f>CX51/4</f>
        <v>6.0600000000000005</v>
      </c>
      <c r="DW261" s="170">
        <f>CX31</f>
        <v>37.82</v>
      </c>
      <c r="DX261" s="93" t="e">
        <f>DT261+DU261+DV261+DW261</f>
        <v>#REF!</v>
      </c>
      <c r="DY261" s="94" t="e">
        <f t="shared" si="74"/>
        <v>#REF!</v>
      </c>
      <c r="DZ261" s="93" t="e">
        <f t="shared" si="75"/>
        <v>#REF!</v>
      </c>
      <c r="EA261" s="123" t="e">
        <f t="shared" ref="EA261:EA264" si="78">ROUND(DZ261*10.764/1,0)*1</f>
        <v>#REF!</v>
      </c>
      <c r="EB261" s="184" t="e">
        <f t="shared" ref="EB261:EB264" si="79">(EA261*$ED$54)/$EC$54</f>
        <v>#REF!</v>
      </c>
      <c r="EC261" s="96" t="e">
        <f t="shared" si="73"/>
        <v>#REF!</v>
      </c>
      <c r="EE261" s="40"/>
      <c r="EF261" s="40"/>
      <c r="EG261" s="40"/>
      <c r="ET261" s="55"/>
      <c r="EU261" s="55"/>
      <c r="EV261" s="55"/>
      <c r="EW261" s="55"/>
      <c r="EX261" s="55"/>
      <c r="EY261" s="55"/>
      <c r="EZ261" s="55"/>
      <c r="FA261" s="55"/>
      <c r="FB261" s="55"/>
      <c r="FC261" s="55"/>
    </row>
    <row r="262" spans="24:160" ht="24.95" customHeight="1" x14ac:dyDescent="0.25">
      <c r="DL262" s="54">
        <v>94</v>
      </c>
      <c r="DM262" s="188" t="s">
        <v>403</v>
      </c>
      <c r="DN262" s="54"/>
      <c r="DO262" s="54"/>
      <c r="DP262" s="54"/>
      <c r="DQ262" s="54"/>
      <c r="DR262" s="54"/>
      <c r="DS262" s="54"/>
      <c r="DT262" s="154">
        <f>CX65</f>
        <v>584.91999999999996</v>
      </c>
      <c r="DU262" s="20">
        <f>DU261</f>
        <v>60.88</v>
      </c>
      <c r="DV262" s="187">
        <f>CX51/4</f>
        <v>6.0600000000000005</v>
      </c>
      <c r="DW262" s="170">
        <f>CX33</f>
        <v>37.82</v>
      </c>
      <c r="DX262" s="93">
        <f>DT262+DU262+DV262+DW262</f>
        <v>689.68</v>
      </c>
      <c r="DY262" s="94">
        <f t="shared" si="74"/>
        <v>229.89333333333332</v>
      </c>
      <c r="DZ262" s="93">
        <f t="shared" si="75"/>
        <v>919.57333333333327</v>
      </c>
      <c r="EA262" s="123">
        <f t="shared" si="78"/>
        <v>9898</v>
      </c>
      <c r="EB262" s="184" t="e">
        <f t="shared" si="79"/>
        <v>#REF!</v>
      </c>
      <c r="EC262" s="96" t="e">
        <f t="shared" si="73"/>
        <v>#REF!</v>
      </c>
      <c r="EE262" s="40"/>
      <c r="EF262" s="95"/>
      <c r="EG262" s="96"/>
      <c r="EH262" s="96"/>
      <c r="EI262" s="96"/>
      <c r="EJ262" s="96"/>
      <c r="EK262" s="96"/>
      <c r="EL262" s="41"/>
      <c r="EM262" s="41"/>
      <c r="EN262" s="41"/>
      <c r="EO262" s="96"/>
      <c r="EP262" s="96"/>
      <c r="ET262" s="40"/>
      <c r="EU262" s="95"/>
      <c r="EV262" s="40"/>
      <c r="EW262" s="96"/>
      <c r="EX262" s="96"/>
      <c r="EY262" s="96"/>
      <c r="EZ262" s="96"/>
      <c r="FA262" s="96"/>
      <c r="FB262" s="96"/>
      <c r="FC262" s="256"/>
      <c r="FD262" s="273"/>
    </row>
    <row r="263" spans="24:160" ht="24.95" customHeight="1" x14ac:dyDescent="0.25">
      <c r="DL263" s="54">
        <v>95</v>
      </c>
      <c r="DM263" s="188" t="s">
        <v>404</v>
      </c>
      <c r="DN263" s="54"/>
      <c r="DO263" s="54"/>
      <c r="DP263" s="54"/>
      <c r="DQ263" s="54"/>
      <c r="DR263" s="54"/>
      <c r="DS263" s="54"/>
      <c r="DT263" s="154">
        <f>CX67</f>
        <v>624.32000000000005</v>
      </c>
      <c r="DU263" s="20">
        <f>CX58/2</f>
        <v>60.88</v>
      </c>
      <c r="DV263" s="187">
        <f>CX51/4</f>
        <v>6.0600000000000005</v>
      </c>
      <c r="DW263" s="170">
        <f>CX35</f>
        <v>37.82</v>
      </c>
      <c r="DX263" s="93">
        <f>DT263+DU263+DV263+DW263</f>
        <v>729.08</v>
      </c>
      <c r="DY263" s="94">
        <f t="shared" si="74"/>
        <v>243.02666666666667</v>
      </c>
      <c r="DZ263" s="93">
        <f t="shared" si="75"/>
        <v>972.10666666666668</v>
      </c>
      <c r="EA263" s="123">
        <f t="shared" si="78"/>
        <v>10464</v>
      </c>
      <c r="EB263" s="184" t="e">
        <f t="shared" si="79"/>
        <v>#REF!</v>
      </c>
      <c r="EC263" s="96" t="e">
        <f t="shared" si="73"/>
        <v>#REF!</v>
      </c>
      <c r="EE263" s="40"/>
      <c r="EF263" s="40"/>
      <c r="EG263" s="40"/>
      <c r="FB263" s="55"/>
      <c r="FD263" s="78"/>
    </row>
    <row r="264" spans="24:160" ht="24.95" customHeight="1" x14ac:dyDescent="0.25">
      <c r="DL264" s="54">
        <v>96</v>
      </c>
      <c r="DM264" s="188" t="s">
        <v>405</v>
      </c>
      <c r="DN264" s="54"/>
      <c r="DO264" s="54"/>
      <c r="DP264" s="54"/>
      <c r="DQ264" s="54"/>
      <c r="DR264" s="54"/>
      <c r="DS264" s="54"/>
      <c r="DT264" s="154" t="e">
        <f>#REF!</f>
        <v>#REF!</v>
      </c>
      <c r="DU264" s="20">
        <f>DU263</f>
        <v>60.88</v>
      </c>
      <c r="DV264" s="187">
        <f>CX51/4</f>
        <v>6.0600000000000005</v>
      </c>
      <c r="DW264" s="170">
        <f>CX37</f>
        <v>37.82</v>
      </c>
      <c r="DX264" s="93" t="e">
        <f>DT264+DU264+DV264+DW264</f>
        <v>#REF!</v>
      </c>
      <c r="DY264" s="94" t="e">
        <f t="shared" si="74"/>
        <v>#REF!</v>
      </c>
      <c r="DZ264" s="93" t="e">
        <f t="shared" si="75"/>
        <v>#REF!</v>
      </c>
      <c r="EA264" s="123" t="e">
        <f t="shared" si="78"/>
        <v>#REF!</v>
      </c>
      <c r="EB264" s="184" t="e">
        <f t="shared" si="79"/>
        <v>#REF!</v>
      </c>
      <c r="EC264" s="96" t="e">
        <f t="shared" si="73"/>
        <v>#REF!</v>
      </c>
      <c r="EE264" s="272"/>
      <c r="EF264" s="40"/>
      <c r="EG264" s="40"/>
      <c r="ET264" s="78"/>
      <c r="FB264" s="55"/>
    </row>
    <row r="265" spans="24:160" ht="24.95" customHeight="1" x14ac:dyDescent="0.25">
      <c r="DL265" s="54"/>
      <c r="DM265" s="39" t="s">
        <v>12</v>
      </c>
      <c r="DN265" s="54"/>
      <c r="DO265" s="54"/>
      <c r="DP265" s="54"/>
      <c r="DQ265" s="54"/>
      <c r="DR265" s="54"/>
      <c r="DS265" s="54"/>
      <c r="DT265" s="154"/>
      <c r="DU265" s="20"/>
      <c r="DV265" s="187"/>
      <c r="DW265" s="170"/>
      <c r="DX265" s="93"/>
      <c r="DY265" s="94"/>
      <c r="DZ265" s="93"/>
      <c r="EA265" s="208" t="e">
        <f>SUM(EA261:EA264)</f>
        <v>#REF!</v>
      </c>
      <c r="EB265" s="185"/>
      <c r="EC265" s="96">
        <f t="shared" si="73"/>
        <v>0</v>
      </c>
      <c r="EE265" s="58"/>
      <c r="EF265" s="40"/>
      <c r="EG265" s="173"/>
      <c r="EH265" s="173"/>
      <c r="EI265" s="173"/>
      <c r="EJ265" s="173"/>
      <c r="EK265" s="173"/>
      <c r="EL265" s="266"/>
      <c r="EM265" s="267"/>
      <c r="EN265" s="267"/>
      <c r="EO265" s="173"/>
      <c r="EP265" s="173"/>
      <c r="EQ265" s="268"/>
      <c r="ET265" s="77"/>
      <c r="EV265" s="289"/>
      <c r="EW265" s="289"/>
      <c r="EX265" s="289"/>
      <c r="EY265" s="289"/>
      <c r="EZ265" s="289"/>
    </row>
    <row r="266" spans="24:160" ht="24.95" customHeight="1" x14ac:dyDescent="0.25">
      <c r="DL266" s="54"/>
      <c r="DM266" s="39" t="s">
        <v>406</v>
      </c>
      <c r="DN266" s="54"/>
      <c r="DO266" s="54"/>
      <c r="DP266" s="54"/>
      <c r="DQ266" s="54"/>
      <c r="DR266" s="54"/>
      <c r="DS266" s="54"/>
      <c r="DT266" s="154"/>
      <c r="DU266" s="20"/>
      <c r="DV266" s="187"/>
      <c r="DW266" s="170"/>
      <c r="DX266" s="93"/>
      <c r="DY266" s="94"/>
      <c r="DZ266" s="93"/>
      <c r="EA266" s="93"/>
      <c r="EB266" s="185"/>
      <c r="EC266" s="96">
        <f t="shared" si="73"/>
        <v>0</v>
      </c>
      <c r="EE266" s="70"/>
      <c r="EF266" s="70"/>
      <c r="EG266" s="71"/>
      <c r="EH266" s="71"/>
      <c r="EI266" s="71"/>
      <c r="EJ266" s="71"/>
      <c r="EK266" s="71"/>
      <c r="EL266" s="71"/>
      <c r="EM266" s="71"/>
      <c r="EN266" s="71"/>
      <c r="EO266" s="71"/>
      <c r="EP266" s="71"/>
      <c r="EQ266" s="271"/>
      <c r="ET266" s="70"/>
      <c r="EU266" s="70"/>
      <c r="EV266" s="71"/>
      <c r="EW266" s="71"/>
      <c r="EX266" s="71"/>
      <c r="EY266" s="71"/>
      <c r="EZ266" s="71"/>
      <c r="FA266" s="71"/>
      <c r="FB266" s="70"/>
      <c r="FC266" s="70"/>
      <c r="FD266" s="95"/>
    </row>
    <row r="267" spans="24:160" ht="24.95" customHeight="1" x14ac:dyDescent="0.25">
      <c r="X267" t="s">
        <v>90</v>
      </c>
      <c r="Y267">
        <f>13.74</f>
        <v>13.74</v>
      </c>
      <c r="DL267" s="54">
        <v>97</v>
      </c>
      <c r="DM267" s="188" t="s">
        <v>407</v>
      </c>
      <c r="DN267" s="54">
        <v>3058.83</v>
      </c>
      <c r="DO267" s="54">
        <v>208.39</v>
      </c>
      <c r="DP267" s="54">
        <v>18.39</v>
      </c>
      <c r="DQ267" s="54"/>
      <c r="DR267" s="54">
        <v>134.99</v>
      </c>
      <c r="DS267" s="54">
        <f>DN267+DO267+DP267+DQ267+DR267</f>
        <v>3420.5999999999995</v>
      </c>
      <c r="DT267" s="154" t="e">
        <f>#REF!</f>
        <v>#REF!</v>
      </c>
      <c r="DU267" s="20">
        <f>DA56/2</f>
        <v>60.88</v>
      </c>
      <c r="DV267" s="187">
        <f>DA51/4</f>
        <v>6.0600000000000005</v>
      </c>
      <c r="DW267" s="170">
        <f>DA31</f>
        <v>37.82</v>
      </c>
      <c r="DX267" s="93" t="e">
        <f>DT267+DU267+DV267+DW267</f>
        <v>#REF!</v>
      </c>
      <c r="DY267" s="94" t="e">
        <f t="shared" si="74"/>
        <v>#REF!</v>
      </c>
      <c r="DZ267" s="93" t="e">
        <f t="shared" si="75"/>
        <v>#REF!</v>
      </c>
      <c r="EA267" s="123" t="e">
        <f t="shared" ref="EA267:EA270" si="80">ROUND(DZ267*10.764/1,0)*1</f>
        <v>#REF!</v>
      </c>
      <c r="EB267" s="184" t="e">
        <f t="shared" ref="EB267:EB270" si="81">(EA267*$ED$54)/$EC$54</f>
        <v>#REF!</v>
      </c>
      <c r="EC267" s="96" t="e">
        <f t="shared" si="73"/>
        <v>#REF!</v>
      </c>
      <c r="EE267" s="40"/>
      <c r="EF267" s="40"/>
      <c r="EG267" s="95"/>
      <c r="EH267" s="95"/>
      <c r="EI267" s="95"/>
      <c r="EJ267" s="95"/>
      <c r="EK267" s="95"/>
      <c r="EL267" s="70"/>
      <c r="EM267" s="70"/>
      <c r="EN267" s="70"/>
      <c r="EO267" s="95"/>
      <c r="EP267" s="95"/>
      <c r="EQ267" s="127"/>
      <c r="ET267" s="55"/>
      <c r="EU267" s="55"/>
      <c r="EV267" s="95"/>
      <c r="EW267" s="95"/>
      <c r="EX267" s="95"/>
      <c r="EY267" s="70"/>
      <c r="EZ267" s="193"/>
      <c r="FA267" s="95"/>
      <c r="FB267" s="95"/>
      <c r="FC267" s="95"/>
      <c r="FD267" s="95"/>
    </row>
    <row r="268" spans="24:160" ht="24.95" customHeight="1" x14ac:dyDescent="0.25">
      <c r="DL268" s="54">
        <v>98</v>
      </c>
      <c r="DM268" s="188" t="s">
        <v>408</v>
      </c>
      <c r="DN268" s="54"/>
      <c r="DO268" s="54"/>
      <c r="DP268" s="54"/>
      <c r="DQ268" s="54"/>
      <c r="DR268" s="54"/>
      <c r="DS268" s="54"/>
      <c r="DT268" s="154">
        <f>DA65</f>
        <v>589.34</v>
      </c>
      <c r="DU268" s="20">
        <f>DU267</f>
        <v>60.88</v>
      </c>
      <c r="DV268" s="187">
        <f>DA51/4</f>
        <v>6.0600000000000005</v>
      </c>
      <c r="DW268" s="170">
        <f>DA33</f>
        <v>37.82</v>
      </c>
      <c r="DX268" s="93">
        <f>DT268+DU268+DV268+DW268</f>
        <v>694.1</v>
      </c>
      <c r="DY268" s="94">
        <f t="shared" si="74"/>
        <v>231.36666666666667</v>
      </c>
      <c r="DZ268" s="93">
        <f t="shared" si="75"/>
        <v>925.4666666666667</v>
      </c>
      <c r="EA268" s="123">
        <f t="shared" si="80"/>
        <v>9962</v>
      </c>
      <c r="EB268" s="184" t="e">
        <f t="shared" si="81"/>
        <v>#REF!</v>
      </c>
      <c r="EC268" s="96" t="e">
        <f t="shared" si="73"/>
        <v>#REF!</v>
      </c>
      <c r="EE268" s="40"/>
      <c r="EF268" s="40"/>
      <c r="EG268" s="40"/>
      <c r="ET268" s="55"/>
      <c r="EU268" s="55"/>
      <c r="EV268" s="55"/>
      <c r="EW268" s="55"/>
      <c r="EX268" s="55"/>
      <c r="EY268" s="55"/>
      <c r="EZ268" s="55"/>
      <c r="FA268" s="55"/>
      <c r="FB268" s="55"/>
      <c r="FC268" s="55"/>
    </row>
    <row r="269" spans="24:160" ht="24.95" customHeight="1" x14ac:dyDescent="0.25">
      <c r="DL269" s="54">
        <v>99</v>
      </c>
      <c r="DM269" s="188" t="s">
        <v>409</v>
      </c>
      <c r="DN269" s="54"/>
      <c r="DO269" s="54"/>
      <c r="DP269" s="54"/>
      <c r="DQ269" s="54"/>
      <c r="DR269" s="54"/>
      <c r="DS269" s="54"/>
      <c r="DT269" s="154">
        <f>DA67</f>
        <v>754.02</v>
      </c>
      <c r="DU269" s="20">
        <f>DA58/2</f>
        <v>60.88</v>
      </c>
      <c r="DV269" s="187">
        <f>DA51/4</f>
        <v>6.0600000000000005</v>
      </c>
      <c r="DW269" s="170">
        <f>DA35</f>
        <v>37.82</v>
      </c>
      <c r="DX269" s="93">
        <f>DT269+DU269+DV269+DW269</f>
        <v>858.78</v>
      </c>
      <c r="DY269" s="94">
        <f t="shared" si="74"/>
        <v>286.26</v>
      </c>
      <c r="DZ269" s="93">
        <f t="shared" si="75"/>
        <v>1145.04</v>
      </c>
      <c r="EA269" s="123">
        <f t="shared" si="80"/>
        <v>12325</v>
      </c>
      <c r="EB269" s="184" t="e">
        <f t="shared" si="81"/>
        <v>#REF!</v>
      </c>
      <c r="EC269" s="96" t="e">
        <f t="shared" si="73"/>
        <v>#REF!</v>
      </c>
      <c r="EE269" s="40"/>
      <c r="EF269" s="95"/>
      <c r="EG269" s="96"/>
      <c r="EH269" s="96"/>
      <c r="EI269" s="96"/>
      <c r="EJ269" s="96"/>
      <c r="EK269" s="96"/>
      <c r="EL269" s="41"/>
      <c r="EM269" s="41"/>
      <c r="EN269" s="41"/>
      <c r="EO269" s="96"/>
      <c r="EP269" s="96"/>
      <c r="ET269" s="40"/>
      <c r="EU269" s="95"/>
      <c r="EV269" s="96"/>
      <c r="EW269" s="96"/>
      <c r="EX269" s="96"/>
      <c r="EY269" s="96"/>
      <c r="EZ269" s="96"/>
      <c r="FA269" s="96"/>
      <c r="FB269" s="96"/>
      <c r="FC269" s="256"/>
      <c r="FD269" s="273"/>
    </row>
    <row r="270" spans="24:160" ht="24.95" customHeight="1" x14ac:dyDescent="0.25">
      <c r="DL270" s="54">
        <v>100</v>
      </c>
      <c r="DM270" s="188" t="s">
        <v>410</v>
      </c>
      <c r="DN270" s="54"/>
      <c r="DO270" s="54"/>
      <c r="DP270" s="54"/>
      <c r="DQ270" s="54"/>
      <c r="DR270" s="54"/>
      <c r="DS270" s="54"/>
      <c r="DT270" s="19" t="e">
        <f>#REF!</f>
        <v>#REF!</v>
      </c>
      <c r="DU270" s="20">
        <f>DU269</f>
        <v>60.88</v>
      </c>
      <c r="DV270" s="187">
        <f>DA51/4</f>
        <v>6.0600000000000005</v>
      </c>
      <c r="DW270" s="170">
        <f>DA37</f>
        <v>37.82</v>
      </c>
      <c r="DX270" s="93" t="e">
        <f>DT270+DU270+DV270+DW270</f>
        <v>#REF!</v>
      </c>
      <c r="DY270" s="94" t="e">
        <f t="shared" si="74"/>
        <v>#REF!</v>
      </c>
      <c r="DZ270" s="93" t="e">
        <f t="shared" si="75"/>
        <v>#REF!</v>
      </c>
      <c r="EA270" s="123" t="e">
        <f t="shared" si="80"/>
        <v>#REF!</v>
      </c>
      <c r="EB270" s="184" t="e">
        <f t="shared" si="81"/>
        <v>#REF!</v>
      </c>
      <c r="EC270" s="96" t="e">
        <f t="shared" si="73"/>
        <v>#REF!</v>
      </c>
      <c r="EE270" s="40"/>
      <c r="EF270" s="95"/>
      <c r="EG270" s="40"/>
      <c r="ET270" s="40"/>
      <c r="EU270" s="95"/>
      <c r="EV270" s="40"/>
      <c r="EW270" s="40"/>
      <c r="EX270" s="40"/>
      <c r="EY270" s="96"/>
      <c r="EZ270" s="96"/>
      <c r="FA270" s="96"/>
      <c r="FB270" s="96"/>
      <c r="FC270" s="256"/>
      <c r="FD270" s="273"/>
    </row>
    <row r="271" spans="24:160" ht="24.95" customHeight="1" x14ac:dyDescent="0.25">
      <c r="DL271" s="54"/>
      <c r="DM271" s="39" t="s">
        <v>12</v>
      </c>
      <c r="DN271" s="54"/>
      <c r="DO271" s="54"/>
      <c r="DP271" s="54"/>
      <c r="DQ271" s="54"/>
      <c r="DR271" s="54"/>
      <c r="DS271" s="54"/>
      <c r="DT271" s="154"/>
      <c r="DU271" s="20"/>
      <c r="DV271" s="187"/>
      <c r="DW271" s="170"/>
      <c r="DX271" s="93"/>
      <c r="DY271" s="94"/>
      <c r="DZ271" s="93"/>
      <c r="EA271" s="208" t="e">
        <f>SUM(EA267:EA270)</f>
        <v>#REF!</v>
      </c>
      <c r="EB271" s="185"/>
      <c r="EC271" s="96">
        <f t="shared" si="73"/>
        <v>0</v>
      </c>
      <c r="EE271" s="40"/>
      <c r="EF271" s="40"/>
      <c r="EG271" s="40"/>
      <c r="FA271" s="96"/>
      <c r="FB271" s="55"/>
    </row>
    <row r="272" spans="24:160" ht="24.95" customHeight="1" x14ac:dyDescent="0.25">
      <c r="DL272" s="54"/>
      <c r="DM272" s="39" t="s">
        <v>411</v>
      </c>
      <c r="DN272" s="54"/>
      <c r="DO272" s="54"/>
      <c r="DP272" s="54"/>
      <c r="DQ272" s="54"/>
      <c r="DR272" s="54"/>
      <c r="DS272" s="54"/>
      <c r="DT272" s="154"/>
      <c r="DU272" s="20"/>
      <c r="DV272" s="187"/>
      <c r="DW272" s="170"/>
      <c r="DX272" s="93"/>
      <c r="DY272" s="94"/>
      <c r="DZ272" s="93"/>
      <c r="EA272" s="93"/>
      <c r="EB272" s="185"/>
      <c r="EC272" s="96">
        <f t="shared" si="73"/>
        <v>0</v>
      </c>
      <c r="EE272" s="40"/>
      <c r="EF272" s="95"/>
      <c r="EG272" s="100"/>
      <c r="EH272" s="100"/>
      <c r="EI272" s="100"/>
      <c r="EJ272" s="100"/>
      <c r="EK272" s="100"/>
      <c r="EL272" s="274"/>
      <c r="EM272" s="274"/>
      <c r="EN272" s="274"/>
      <c r="EO272" s="100"/>
      <c r="EP272" s="100"/>
      <c r="EQ272" s="127"/>
      <c r="EU272" s="95"/>
      <c r="EV272" s="100"/>
      <c r="EW272" s="100"/>
      <c r="EX272" s="100"/>
      <c r="EY272" s="100"/>
      <c r="EZ272" s="100"/>
      <c r="FA272" s="100"/>
      <c r="FB272" s="100"/>
      <c r="FC272" s="127"/>
    </row>
    <row r="273" spans="24:163" ht="24.95" customHeight="1" x14ac:dyDescent="0.25">
      <c r="DL273" s="54">
        <v>101</v>
      </c>
      <c r="DM273" s="188" t="s">
        <v>412</v>
      </c>
      <c r="DN273" s="54">
        <v>3058.83</v>
      </c>
      <c r="DO273" s="54">
        <v>208.39</v>
      </c>
      <c r="DP273" s="54">
        <v>18.39</v>
      </c>
      <c r="DQ273" s="54"/>
      <c r="DR273" s="54">
        <v>134.99</v>
      </c>
      <c r="DS273" s="54">
        <f>DN273+DO273+DP273+DQ273+DR273</f>
        <v>3420.5999999999995</v>
      </c>
      <c r="DT273" s="154" t="e">
        <f>#REF!</f>
        <v>#REF!</v>
      </c>
      <c r="DU273" s="20">
        <f>DD56/2</f>
        <v>60.88</v>
      </c>
      <c r="DV273" s="187">
        <f>DD51/4</f>
        <v>6.0600000000000005</v>
      </c>
      <c r="DW273" s="170">
        <f>DD31</f>
        <v>37.82</v>
      </c>
      <c r="DX273" s="93" t="e">
        <f>DT273+DU273+DV273+DW273</f>
        <v>#REF!</v>
      </c>
      <c r="DY273" s="94" t="e">
        <f t="shared" si="74"/>
        <v>#REF!</v>
      </c>
      <c r="DZ273" s="93" t="e">
        <f t="shared" si="75"/>
        <v>#REF!</v>
      </c>
      <c r="EA273" s="123" t="e">
        <f t="shared" ref="EA273:EA276" si="82">ROUND(DZ273*10.764/1,0)*1</f>
        <v>#REF!</v>
      </c>
      <c r="EB273" s="184" t="e">
        <f t="shared" ref="EB273:EB276" si="83">(EA273*$ED$54)/$EC$54</f>
        <v>#REF!</v>
      </c>
      <c r="EC273" s="96" t="e">
        <f t="shared" si="73"/>
        <v>#REF!</v>
      </c>
      <c r="EE273" s="272"/>
      <c r="EF273" s="40"/>
      <c r="EG273" s="40"/>
      <c r="ET273" s="78"/>
      <c r="FB273" s="55"/>
    </row>
    <row r="274" spans="24:163" ht="24.95" customHeight="1" x14ac:dyDescent="0.25">
      <c r="X274" s="11" t="s">
        <v>75</v>
      </c>
      <c r="Y274" s="12">
        <v>47.02</v>
      </c>
      <c r="DL274" s="54">
        <v>102</v>
      </c>
      <c r="DM274" s="188" t="s">
        <v>413</v>
      </c>
      <c r="DN274" s="54"/>
      <c r="DO274" s="54"/>
      <c r="DP274" s="54"/>
      <c r="DQ274" s="54"/>
      <c r="DR274" s="54"/>
      <c r="DS274" s="54"/>
      <c r="DT274" s="154">
        <f>DD65</f>
        <v>589.34</v>
      </c>
      <c r="DU274" s="20">
        <f>DU273</f>
        <v>60.88</v>
      </c>
      <c r="DV274" s="187">
        <f>DD51/4</f>
        <v>6.0600000000000005</v>
      </c>
      <c r="DW274" s="170">
        <f>DD33</f>
        <v>37.82</v>
      </c>
      <c r="DX274" s="93">
        <f>DT274+DU274+DV274+DW274</f>
        <v>694.1</v>
      </c>
      <c r="DY274" s="94">
        <f t="shared" si="74"/>
        <v>231.36666666666667</v>
      </c>
      <c r="DZ274" s="93">
        <f t="shared" si="75"/>
        <v>925.4666666666667</v>
      </c>
      <c r="EA274" s="123">
        <f t="shared" si="82"/>
        <v>9962</v>
      </c>
      <c r="EB274" s="184" t="e">
        <f t="shared" si="83"/>
        <v>#REF!</v>
      </c>
      <c r="EC274" s="96" t="e">
        <f t="shared" si="73"/>
        <v>#REF!</v>
      </c>
      <c r="EE274" s="272"/>
      <c r="EG274" s="40"/>
      <c r="ET274" s="78"/>
      <c r="FB274" s="55"/>
    </row>
    <row r="275" spans="24:163" ht="24.95" customHeight="1" x14ac:dyDescent="0.25">
      <c r="X275" s="11" t="s">
        <v>76</v>
      </c>
      <c r="Y275" s="12">
        <v>35.35</v>
      </c>
      <c r="DL275" s="54">
        <v>103</v>
      </c>
      <c r="DM275" s="188" t="s">
        <v>414</v>
      </c>
      <c r="DN275" s="54"/>
      <c r="DO275" s="54"/>
      <c r="DP275" s="54"/>
      <c r="DQ275" s="54"/>
      <c r="DR275" s="54"/>
      <c r="DS275" s="54"/>
      <c r="DT275" s="154">
        <f>DD67</f>
        <v>754.02</v>
      </c>
      <c r="DU275" s="20">
        <f>DD58/2</f>
        <v>60.88</v>
      </c>
      <c r="DV275" s="187">
        <f>DD51/4</f>
        <v>6.0600000000000005</v>
      </c>
      <c r="DW275" s="170">
        <f>DD35</f>
        <v>37.82</v>
      </c>
      <c r="DX275" s="93">
        <f>DT275+DU275+DV275+DW275</f>
        <v>858.78</v>
      </c>
      <c r="DY275" s="94">
        <f t="shared" si="74"/>
        <v>286.26</v>
      </c>
      <c r="DZ275" s="93">
        <f t="shared" si="75"/>
        <v>1145.04</v>
      </c>
      <c r="EA275" s="123">
        <f t="shared" si="82"/>
        <v>12325</v>
      </c>
      <c r="EB275" s="184" t="e">
        <f t="shared" si="83"/>
        <v>#REF!</v>
      </c>
      <c r="EC275" s="96" t="e">
        <f t="shared" si="73"/>
        <v>#REF!</v>
      </c>
      <c r="EE275" s="58"/>
      <c r="EF275" s="40"/>
      <c r="EG275" s="173"/>
      <c r="EH275" s="173"/>
      <c r="EI275" s="173"/>
      <c r="EJ275" s="173"/>
      <c r="EK275" s="173"/>
      <c r="EL275" s="266"/>
      <c r="EM275" s="267"/>
      <c r="EN275" s="267"/>
      <c r="EO275" s="173"/>
      <c r="EP275" s="173"/>
      <c r="EQ275" s="268"/>
      <c r="ET275" s="77"/>
      <c r="EV275" s="289"/>
      <c r="EW275" s="289"/>
      <c r="EX275" s="289"/>
      <c r="EY275" s="289"/>
      <c r="EZ275" s="289"/>
    </row>
    <row r="276" spans="24:163" ht="24.95" customHeight="1" x14ac:dyDescent="0.25">
      <c r="X276" s="11" t="s">
        <v>77</v>
      </c>
      <c r="Y276" s="12">
        <v>70.709999999999994</v>
      </c>
      <c r="DL276" s="54">
        <v>104</v>
      </c>
      <c r="DM276" s="188" t="s">
        <v>415</v>
      </c>
      <c r="DN276" s="54"/>
      <c r="DO276" s="54"/>
      <c r="DP276" s="54"/>
      <c r="DQ276" s="54"/>
      <c r="DR276" s="54"/>
      <c r="DS276" s="54"/>
      <c r="DT276" s="19" t="e">
        <f>#REF!</f>
        <v>#REF!</v>
      </c>
      <c r="DU276" s="20">
        <f>DU275</f>
        <v>60.88</v>
      </c>
      <c r="DV276" s="187">
        <f>DD51/4</f>
        <v>6.0600000000000005</v>
      </c>
      <c r="DW276" s="170">
        <f>DD37</f>
        <v>37.82</v>
      </c>
      <c r="DX276" s="93" t="e">
        <f>DT276+DU276+DV276+DW276</f>
        <v>#REF!</v>
      </c>
      <c r="DY276" s="94" t="e">
        <f t="shared" si="74"/>
        <v>#REF!</v>
      </c>
      <c r="DZ276" s="93" t="e">
        <f t="shared" si="75"/>
        <v>#REF!</v>
      </c>
      <c r="EA276" s="123" t="e">
        <f t="shared" si="82"/>
        <v>#REF!</v>
      </c>
      <c r="EB276" s="184" t="e">
        <f t="shared" si="83"/>
        <v>#REF!</v>
      </c>
      <c r="EC276" s="96" t="e">
        <f t="shared" si="73"/>
        <v>#REF!</v>
      </c>
      <c r="EE276" s="70"/>
      <c r="EF276" s="70"/>
      <c r="EG276" s="71"/>
      <c r="EH276" s="71"/>
      <c r="EI276" s="71"/>
      <c r="EJ276" s="71"/>
      <c r="EK276" s="71"/>
      <c r="EL276" s="71"/>
      <c r="EM276" s="71"/>
      <c r="EN276" s="71"/>
      <c r="EO276" s="71"/>
      <c r="EP276" s="71"/>
      <c r="EQ276" s="271"/>
      <c r="ET276" s="70"/>
      <c r="EU276" s="70"/>
      <c r="EV276" s="71"/>
      <c r="EW276" s="71"/>
      <c r="EX276" s="71"/>
      <c r="EY276" s="71"/>
      <c r="EZ276" s="71"/>
      <c r="FA276" s="71"/>
      <c r="FB276" s="70"/>
      <c r="FC276" s="70"/>
      <c r="FD276" s="95"/>
    </row>
    <row r="277" spans="24:163" ht="24.95" customHeight="1" x14ac:dyDescent="0.25">
      <c r="X277" s="11" t="s">
        <v>78</v>
      </c>
      <c r="Y277" s="12">
        <v>35.35</v>
      </c>
      <c r="DL277" s="54"/>
      <c r="DM277" s="39" t="s">
        <v>12</v>
      </c>
      <c r="DN277" s="54"/>
      <c r="DO277" s="54"/>
      <c r="DP277" s="54"/>
      <c r="DQ277" s="54"/>
      <c r="DR277" s="54"/>
      <c r="DS277" s="54"/>
      <c r="DT277" s="154"/>
      <c r="DU277" s="20"/>
      <c r="DV277" s="187"/>
      <c r="DW277" s="170"/>
      <c r="DX277" s="93"/>
      <c r="DY277" s="94"/>
      <c r="DZ277" s="93"/>
      <c r="EA277" s="208" t="e">
        <f>SUM(EA273:EA276)</f>
        <v>#REF!</v>
      </c>
      <c r="EB277" s="185"/>
      <c r="EC277" s="96">
        <f t="shared" si="73"/>
        <v>0</v>
      </c>
      <c r="EE277" s="40"/>
      <c r="EF277" s="40"/>
      <c r="EG277" s="95"/>
      <c r="EH277" s="95"/>
      <c r="EI277" s="95"/>
      <c r="EJ277" s="95"/>
      <c r="EK277" s="95"/>
      <c r="EL277" s="70"/>
      <c r="EM277" s="70"/>
      <c r="EN277" s="70"/>
      <c r="EO277" s="95"/>
      <c r="EP277" s="95"/>
      <c r="EQ277" s="127"/>
      <c r="ET277" s="55"/>
      <c r="EU277" s="55"/>
      <c r="EV277" s="95"/>
      <c r="EW277" s="95"/>
      <c r="EX277" s="95"/>
      <c r="EY277" s="70"/>
      <c r="EZ277" s="193"/>
      <c r="FA277" s="95"/>
      <c r="FB277" s="95"/>
      <c r="FC277" s="95"/>
      <c r="FD277" s="95"/>
      <c r="FF277" s="78"/>
      <c r="FG277" s="130"/>
    </row>
    <row r="278" spans="24:163" ht="24.95" customHeight="1" x14ac:dyDescent="0.25">
      <c r="X278" s="11" t="s">
        <v>79</v>
      </c>
      <c r="Y278" s="12">
        <v>35.619999999999997</v>
      </c>
      <c r="DL278" s="54"/>
      <c r="DM278" s="39" t="s">
        <v>416</v>
      </c>
      <c r="DN278" s="54"/>
      <c r="DO278" s="54"/>
      <c r="DP278" s="54"/>
      <c r="DQ278" s="54"/>
      <c r="DR278" s="54"/>
      <c r="DS278" s="54"/>
      <c r="DT278" s="154"/>
      <c r="DU278" s="20"/>
      <c r="DV278" s="187"/>
      <c r="DW278" s="170"/>
      <c r="DX278" s="93"/>
      <c r="DY278" s="94"/>
      <c r="DZ278" s="93"/>
      <c r="EA278" s="93"/>
      <c r="EB278" s="185"/>
      <c r="EC278" s="96">
        <f t="shared" si="73"/>
        <v>0</v>
      </c>
      <c r="EE278" s="40"/>
      <c r="EF278" s="40"/>
      <c r="EG278" s="40"/>
      <c r="ET278" s="55"/>
      <c r="EU278" s="55"/>
      <c r="EV278" s="55"/>
      <c r="EW278" s="55"/>
      <c r="EX278" s="55"/>
      <c r="EY278" s="55"/>
      <c r="EZ278" s="55"/>
      <c r="FA278" s="55"/>
      <c r="FB278" s="55"/>
      <c r="FC278" s="55"/>
    </row>
    <row r="279" spans="24:163" ht="24.95" customHeight="1" x14ac:dyDescent="0.25">
      <c r="X279" s="11" t="s">
        <v>80</v>
      </c>
      <c r="Y279" s="12">
        <v>35.35</v>
      </c>
      <c r="DL279" s="54">
        <v>105</v>
      </c>
      <c r="DM279" s="188" t="s">
        <v>417</v>
      </c>
      <c r="DN279" s="54">
        <v>1481.45</v>
      </c>
      <c r="DO279" s="54">
        <v>92.43</v>
      </c>
      <c r="DP279" s="54">
        <v>18.39</v>
      </c>
      <c r="DQ279" s="54"/>
      <c r="DR279" s="54">
        <v>67.44</v>
      </c>
      <c r="DS279" s="54">
        <f>DN279+DO279+DP279+DQ279+DR279</f>
        <v>1659.7100000000003</v>
      </c>
      <c r="DT279" s="154" t="e">
        <f>#REF!</f>
        <v>#REF!</v>
      </c>
      <c r="DU279" s="20" t="e">
        <f>(DG56+DG58+#REF!+DG61+DG62)/2</f>
        <v>#REF!</v>
      </c>
      <c r="DV279" s="187">
        <f>DG51/2</f>
        <v>12.120000000000001</v>
      </c>
      <c r="DW279" s="170">
        <f>DG31</f>
        <v>37.57</v>
      </c>
      <c r="DX279" s="93" t="e">
        <f>DT279+DU279+DV279+DW279</f>
        <v>#REF!</v>
      </c>
      <c r="DY279" s="94" t="e">
        <f t="shared" si="74"/>
        <v>#REF!</v>
      </c>
      <c r="DZ279" s="93" t="e">
        <f t="shared" si="75"/>
        <v>#REF!</v>
      </c>
      <c r="EA279" s="123" t="e">
        <f t="shared" ref="EA279:EA280" si="84">ROUND(DZ279*10.764/1,0)*1</f>
        <v>#REF!</v>
      </c>
      <c r="EB279" s="184" t="e">
        <f t="shared" ref="EB279:EB280" si="85">(EA279*$ED$54)/$EC$54</f>
        <v>#REF!</v>
      </c>
      <c r="EC279" s="96" t="e">
        <f t="shared" si="73"/>
        <v>#REF!</v>
      </c>
      <c r="EE279" s="40"/>
      <c r="EF279" s="95"/>
      <c r="EG279" s="96"/>
      <c r="EH279" s="96"/>
      <c r="EI279" s="96"/>
      <c r="EJ279" s="96"/>
      <c r="EK279" s="96"/>
      <c r="EL279" s="41"/>
      <c r="EM279" s="41"/>
      <c r="EN279" s="41"/>
      <c r="EO279" s="96"/>
      <c r="EP279" s="96"/>
      <c r="ET279" s="40"/>
      <c r="EU279" s="95"/>
      <c r="EV279" s="40"/>
      <c r="EW279" s="96"/>
      <c r="EX279" s="96"/>
      <c r="EY279" s="96"/>
      <c r="EZ279" s="96"/>
      <c r="FA279" s="96"/>
      <c r="FB279" s="96"/>
      <c r="FC279" s="256"/>
      <c r="FD279" s="273"/>
    </row>
    <row r="280" spans="24:163" ht="24.95" customHeight="1" x14ac:dyDescent="0.25">
      <c r="X280" s="11" t="s">
        <v>81</v>
      </c>
      <c r="Y280" s="12">
        <v>35.43</v>
      </c>
      <c r="DL280" s="54">
        <v>106</v>
      </c>
      <c r="DM280" s="188" t="s">
        <v>418</v>
      </c>
      <c r="DN280" s="54"/>
      <c r="DO280" s="54"/>
      <c r="DP280" s="54"/>
      <c r="DQ280" s="54"/>
      <c r="DR280" s="54"/>
      <c r="DS280" s="54"/>
      <c r="DT280" s="154">
        <f>DG70</f>
        <v>578.59</v>
      </c>
      <c r="DU280" s="20" t="e">
        <f>DU279</f>
        <v>#REF!</v>
      </c>
      <c r="DV280" s="187">
        <f>DG51/2</f>
        <v>12.120000000000001</v>
      </c>
      <c r="DW280" s="170">
        <f>DG33</f>
        <v>39.130000000000003</v>
      </c>
      <c r="DX280" s="93" t="e">
        <f>DT280+DU280+DV280+DW280</f>
        <v>#REF!</v>
      </c>
      <c r="DY280" s="94" t="e">
        <f t="shared" si="74"/>
        <v>#REF!</v>
      </c>
      <c r="DZ280" s="93" t="e">
        <f t="shared" si="75"/>
        <v>#REF!</v>
      </c>
      <c r="EA280" s="123" t="e">
        <f t="shared" si="84"/>
        <v>#REF!</v>
      </c>
      <c r="EB280" s="184" t="e">
        <f t="shared" si="85"/>
        <v>#REF!</v>
      </c>
      <c r="EC280" s="96" t="e">
        <f t="shared" si="73"/>
        <v>#REF!</v>
      </c>
      <c r="EE280" s="40"/>
      <c r="EF280" s="40"/>
      <c r="EG280" s="40"/>
      <c r="FB280" s="55"/>
    </row>
    <row r="281" spans="24:163" ht="24.95" customHeight="1" x14ac:dyDescent="0.25">
      <c r="X281" s="11" t="s">
        <v>82</v>
      </c>
      <c r="Y281" s="12">
        <v>35.43</v>
      </c>
      <c r="DL281" s="54"/>
      <c r="DM281" s="39" t="s">
        <v>12</v>
      </c>
      <c r="DN281" s="54"/>
      <c r="DO281" s="54"/>
      <c r="DP281" s="54"/>
      <c r="DQ281" s="54"/>
      <c r="DR281" s="54"/>
      <c r="DS281" s="54"/>
      <c r="DT281" s="154"/>
      <c r="DU281" s="186"/>
      <c r="DV281" s="187"/>
      <c r="DW281" s="170"/>
      <c r="DX281" s="93"/>
      <c r="DY281" s="94"/>
      <c r="DZ281" s="93"/>
      <c r="EA281" s="208" t="e">
        <f>SUM(EA279:EA280)</f>
        <v>#REF!</v>
      </c>
      <c r="EB281" s="185"/>
    </row>
    <row r="282" spans="24:163" ht="24.95" customHeight="1" x14ac:dyDescent="0.25">
      <c r="X282" s="11" t="s">
        <v>83</v>
      </c>
      <c r="Y282" s="12">
        <v>35.35</v>
      </c>
      <c r="DL282" s="54"/>
      <c r="DM282" s="188"/>
      <c r="DN282" s="54"/>
      <c r="DO282" s="54"/>
      <c r="DP282" s="54"/>
      <c r="DQ282" s="54"/>
      <c r="DR282" s="54"/>
      <c r="DS282" s="54"/>
      <c r="DT282" s="54"/>
      <c r="DU282" s="54"/>
      <c r="DV282" s="54"/>
      <c r="DW282" s="54"/>
      <c r="DX282" s="54"/>
      <c r="DY282" s="86"/>
      <c r="DZ282" s="86"/>
      <c r="EA282" s="86"/>
      <c r="EB282" s="185"/>
    </row>
    <row r="283" spans="24:163" ht="24.95" customHeight="1" x14ac:dyDescent="0.25">
      <c r="X283" s="11" t="s">
        <v>84</v>
      </c>
      <c r="Y283" s="12">
        <v>47.13</v>
      </c>
      <c r="DL283" s="40"/>
      <c r="DM283" s="101"/>
      <c r="DU283" s="40"/>
      <c r="DV283" s="40"/>
      <c r="DW283" s="40"/>
      <c r="DX283" s="40"/>
      <c r="DY283" s="101"/>
      <c r="DZ283" s="101"/>
      <c r="EA283" s="101"/>
    </row>
    <row r="284" spans="24:163" ht="24.95" customHeight="1" x14ac:dyDescent="0.25">
      <c r="X284" s="11" t="s">
        <v>86</v>
      </c>
      <c r="Y284" s="12">
        <f>52.34-1.12</f>
        <v>51.220000000000006</v>
      </c>
      <c r="DL284" s="40"/>
      <c r="DM284" s="47" t="s">
        <v>419</v>
      </c>
      <c r="DT284" s="100" t="e">
        <f t="shared" ref="DT284:DZ284" si="86">SUM(DT61:DT283)</f>
        <v>#REF!</v>
      </c>
      <c r="DU284" s="100" t="e">
        <f t="shared" si="86"/>
        <v>#REF!</v>
      </c>
      <c r="DV284" s="100">
        <f t="shared" si="86"/>
        <v>533.28000000000009</v>
      </c>
      <c r="DW284" s="100">
        <f t="shared" si="86"/>
        <v>3329.2200000000043</v>
      </c>
      <c r="DX284" s="100" t="e">
        <f t="shared" si="86"/>
        <v>#REF!</v>
      </c>
      <c r="DY284" s="100" t="e">
        <f t="shared" si="86"/>
        <v>#REF!</v>
      </c>
      <c r="DZ284" s="100" t="e">
        <f t="shared" si="86"/>
        <v>#REF!</v>
      </c>
      <c r="EA284" s="127" t="e">
        <f>EA62+EA67+EA70+EA75+EA95+EA100+EA106+EA111+EA116+EA176+EA182+EA186+EA193+EA199+EA205+EA211+EA217+EA223+EA229+EA235+EA241+EA247+EA253+EA259+EA265+EA271+EA277+EA281</f>
        <v>#REF!</v>
      </c>
      <c r="EB284" s="100" t="e">
        <f>SUM(EB61:EB283)</f>
        <v>#REF!</v>
      </c>
      <c r="EC284" s="100" t="e">
        <f>SUM(EC61:EC283)</f>
        <v>#REF!</v>
      </c>
      <c r="EE284" s="47"/>
      <c r="EF284" s="47"/>
      <c r="EG284" s="47"/>
      <c r="EH284" s="47"/>
      <c r="EI284" s="47"/>
      <c r="EJ284" s="47"/>
      <c r="EK284" s="47"/>
      <c r="EL284" s="70"/>
      <c r="EM284" s="275"/>
      <c r="EN284" s="275"/>
      <c r="EO284" s="47"/>
      <c r="EP284" s="47"/>
      <c r="EQ284" s="276"/>
    </row>
    <row r="285" spans="24:163" ht="44.25" customHeight="1" x14ac:dyDescent="0.25">
      <c r="X285" s="11" t="s">
        <v>85</v>
      </c>
      <c r="Y285" s="12">
        <v>35.229999999999997</v>
      </c>
      <c r="DL285" s="40"/>
      <c r="DM285" s="101"/>
      <c r="DU285" s="40"/>
      <c r="DV285" s="40"/>
      <c r="DW285" s="40"/>
      <c r="DX285" s="40"/>
      <c r="DY285" s="101"/>
      <c r="DZ285" s="101"/>
      <c r="EA285" s="101"/>
      <c r="EG285" s="277"/>
      <c r="EH285" s="277"/>
      <c r="EI285" s="277"/>
      <c r="EJ285" s="277"/>
      <c r="EK285" s="277"/>
      <c r="EL285" s="278"/>
      <c r="EM285" s="279"/>
      <c r="EN285" s="279"/>
      <c r="EO285" s="277"/>
      <c r="EP285" s="277"/>
      <c r="EQ285" s="280"/>
    </row>
    <row r="286" spans="24:163" ht="55.5" customHeight="1" x14ac:dyDescent="0.25">
      <c r="X286" s="11" t="s">
        <v>87</v>
      </c>
      <c r="Y286" s="12">
        <v>35.450000000000003</v>
      </c>
      <c r="DL286" s="40"/>
      <c r="DM286" s="50" t="s">
        <v>245</v>
      </c>
      <c r="DT286" s="155" t="e">
        <f>DT284/$DZ$284</f>
        <v>#REF!</v>
      </c>
      <c r="DU286" s="155" t="e">
        <f t="shared" ref="DU286:DY286" si="87">DU284/$DZ$284</f>
        <v>#REF!</v>
      </c>
      <c r="DV286" s="155" t="e">
        <f t="shared" si="87"/>
        <v>#REF!</v>
      </c>
      <c r="DW286" s="155" t="e">
        <f t="shared" si="87"/>
        <v>#REF!</v>
      </c>
      <c r="DX286" s="155" t="e">
        <f t="shared" si="87"/>
        <v>#REF!</v>
      </c>
      <c r="DY286" s="155" t="e">
        <f t="shared" si="87"/>
        <v>#REF!</v>
      </c>
      <c r="DZ286" s="155" t="e">
        <f>DZ284/$DZ$284</f>
        <v>#REF!</v>
      </c>
      <c r="EA286" s="101"/>
      <c r="EE286" s="70"/>
      <c r="EF286" s="95"/>
      <c r="EG286" s="281"/>
      <c r="EH286" s="281"/>
      <c r="EI286" s="281"/>
      <c r="EJ286" s="281"/>
      <c r="EK286" s="281"/>
      <c r="EL286" s="71"/>
      <c r="EM286" s="71"/>
      <c r="EN286" s="71"/>
      <c r="EO286" s="281"/>
      <c r="EP286" s="281"/>
      <c r="EQ286" s="282"/>
    </row>
    <row r="287" spans="24:163" ht="24" customHeight="1" x14ac:dyDescent="0.25">
      <c r="X287" s="11" t="s">
        <v>88</v>
      </c>
      <c r="Y287" s="12">
        <v>39.47</v>
      </c>
      <c r="EC287" s="125" t="e">
        <f>EA284-1236542</f>
        <v>#REF!</v>
      </c>
      <c r="EG287" s="95"/>
      <c r="EH287" s="95"/>
      <c r="EI287" s="95"/>
      <c r="EJ287" s="95"/>
      <c r="EK287" s="95"/>
      <c r="EL287" s="70"/>
      <c r="EM287" s="70"/>
      <c r="EN287" s="70"/>
      <c r="EO287" s="95"/>
      <c r="EP287" s="95"/>
      <c r="EQ287" s="127"/>
    </row>
    <row r="288" spans="24:163" ht="28.5" customHeight="1" x14ac:dyDescent="0.25">
      <c r="X288" s="11" t="s">
        <v>89</v>
      </c>
      <c r="Y288" s="12">
        <f>38.45-0.43</f>
        <v>38.020000000000003</v>
      </c>
      <c r="EC288" s="95"/>
      <c r="EE288" s="40"/>
      <c r="EF288" s="95"/>
      <c r="EG288" s="40"/>
    </row>
    <row r="290" spans="124:147" x14ac:dyDescent="0.25">
      <c r="EA290" s="172" t="e">
        <f>EA284+760633</f>
        <v>#REF!</v>
      </c>
      <c r="EB290" s="178" t="e">
        <f>EA284-EA53</f>
        <v>#REF!</v>
      </c>
      <c r="EC290" s="124"/>
      <c r="EF290" s="95"/>
      <c r="EG290" s="100"/>
      <c r="EH290" s="100"/>
      <c r="EI290" s="100"/>
      <c r="EJ290" s="100"/>
      <c r="EK290" s="100"/>
      <c r="EL290" s="274"/>
      <c r="EM290" s="274"/>
      <c r="EN290" s="274"/>
      <c r="EO290" s="100"/>
      <c r="EP290" s="100"/>
      <c r="EQ290" s="127"/>
    </row>
    <row r="291" spans="124:147" x14ac:dyDescent="0.25">
      <c r="DT291" s="40">
        <v>2662.93</v>
      </c>
      <c r="DU291" s="55">
        <f>406.44-25.72</f>
        <v>380.72</v>
      </c>
      <c r="DV291" s="55">
        <f>DT291+DU291</f>
        <v>3043.6499999999996</v>
      </c>
      <c r="DZ291" s="126" t="e">
        <f>DZ77+DZ78+#REF!+DZ94</f>
        <v>#REF!</v>
      </c>
    </row>
    <row r="292" spans="124:147" x14ac:dyDescent="0.25">
      <c r="EG292" s="283"/>
      <c r="EH292" s="284"/>
      <c r="EI292" s="284"/>
      <c r="EJ292" s="284"/>
      <c r="EK292" s="284"/>
      <c r="EL292" s="265"/>
      <c r="EM292" s="265"/>
      <c r="EN292" s="265"/>
      <c r="EO292" s="284"/>
      <c r="EP292" s="284"/>
      <c r="EQ292" s="285"/>
    </row>
    <row r="294" spans="124:147" ht="23.25" customHeight="1" x14ac:dyDescent="0.25">
      <c r="DV294" s="190" t="e">
        <f>DV291/DZ291</f>
        <v>#REF!</v>
      </c>
      <c r="EA294" s="124"/>
      <c r="EE294" s="47"/>
      <c r="EF294" s="47"/>
      <c r="EG294" s="47"/>
      <c r="EH294" s="47"/>
      <c r="EI294" s="47"/>
      <c r="EJ294" s="47"/>
      <c r="EK294" s="47"/>
      <c r="EL294" s="70"/>
      <c r="EM294" s="275"/>
      <c r="EN294" s="275"/>
      <c r="EO294" s="47"/>
      <c r="EP294" s="47"/>
      <c r="EQ294" s="276"/>
    </row>
    <row r="295" spans="124:147" ht="33" customHeight="1" x14ac:dyDescent="0.25">
      <c r="EG295" s="277"/>
      <c r="EH295" s="277"/>
      <c r="EI295" s="277"/>
      <c r="EJ295" s="277"/>
      <c r="EK295" s="277"/>
      <c r="EL295" s="278"/>
      <c r="EM295" s="279"/>
      <c r="EN295" s="279"/>
      <c r="EO295" s="277"/>
      <c r="EP295" s="277"/>
      <c r="EQ295" s="280"/>
    </row>
    <row r="296" spans="124:147" x14ac:dyDescent="0.25">
      <c r="EE296" s="70"/>
      <c r="EF296" s="95"/>
      <c r="EG296" s="281"/>
      <c r="EH296" s="281"/>
      <c r="EI296" s="281"/>
      <c r="EJ296" s="281"/>
      <c r="EK296" s="281"/>
      <c r="EL296" s="71"/>
      <c r="EM296" s="71"/>
      <c r="EN296" s="71"/>
      <c r="EO296" s="281"/>
      <c r="EP296" s="281"/>
      <c r="EQ296" s="282"/>
    </row>
    <row r="297" spans="124:147" ht="21" customHeight="1" x14ac:dyDescent="0.25">
      <c r="EG297" s="95"/>
      <c r="EH297" s="95"/>
      <c r="EI297" s="95"/>
      <c r="EJ297" s="95"/>
      <c r="EK297" s="95"/>
      <c r="EL297" s="70"/>
      <c r="EM297" s="70"/>
      <c r="EN297" s="70"/>
      <c r="EO297" s="95"/>
      <c r="EP297" s="95"/>
      <c r="EQ297" s="127"/>
    </row>
    <row r="298" spans="124:147" ht="29.25" customHeight="1" x14ac:dyDescent="0.25">
      <c r="EE298" s="40"/>
      <c r="EF298" s="95"/>
      <c r="EG298" s="40"/>
    </row>
    <row r="300" spans="124:147" ht="24.75" customHeight="1" x14ac:dyDescent="0.25">
      <c r="EF300" s="95"/>
      <c r="EG300" s="100"/>
      <c r="EH300" s="100"/>
      <c r="EI300" s="100"/>
      <c r="EJ300" s="100"/>
      <c r="EK300" s="100"/>
      <c r="EL300" s="274"/>
      <c r="EM300" s="274"/>
      <c r="EN300" s="274"/>
      <c r="EO300" s="100"/>
      <c r="EP300" s="100"/>
      <c r="EQ300" s="127"/>
    </row>
  </sheetData>
  <mergeCells count="33">
    <mergeCell ref="DL1:EC2"/>
    <mergeCell ref="DL3:EC3"/>
    <mergeCell ref="EG184:EH184"/>
    <mergeCell ref="EG176:EH176"/>
    <mergeCell ref="EG177:EH177"/>
    <mergeCell ref="ED168:EP168"/>
    <mergeCell ref="B4:I4"/>
    <mergeCell ref="DN5:DS5"/>
    <mergeCell ref="DT5:DX5"/>
    <mergeCell ref="EG185:EH185"/>
    <mergeCell ref="EV258:EZ258"/>
    <mergeCell ref="ED189:EM189"/>
    <mergeCell ref="N37:N40"/>
    <mergeCell ref="DL44:EC44"/>
    <mergeCell ref="K48:K49"/>
    <mergeCell ref="N41:N48"/>
    <mergeCell ref="ED188:EM188"/>
    <mergeCell ref="EV265:EZ265"/>
    <mergeCell ref="EV275:EZ275"/>
    <mergeCell ref="A9:A11"/>
    <mergeCell ref="D9:D11"/>
    <mergeCell ref="G9:G11"/>
    <mergeCell ref="X12:Z12"/>
    <mergeCell ref="X19:Z19"/>
    <mergeCell ref="EQ58:ER58"/>
    <mergeCell ref="ED57:ER57"/>
    <mergeCell ref="EO58:EP58"/>
    <mergeCell ref="D33:D34"/>
    <mergeCell ref="G33:G34"/>
    <mergeCell ref="K34:K35"/>
    <mergeCell ref="K36:K38"/>
    <mergeCell ref="EE186:EM186"/>
    <mergeCell ref="EE187:EM187"/>
  </mergeCells>
  <phoneticPr fontId="17" type="noConversion"/>
  <hyperlinks>
    <hyperlink ref="EI184" r:id="rId1" display="https://nvaarch-my.sharepoint.com/personal/nvaarch03_nvaarch_onmicrosoft_com/Documents/BTB-RERA DETAILS-03-01-2024.xlsx?web=1" xr:uid="{C461F65F-941F-433B-B5A6-EDC3976AEF1D}"/>
    <hyperlink ref="EI176" r:id="rId2" display="https://nvaarch-my.sharepoint.com/personal/nvaarch03_nvaarch_onmicrosoft_com/Documents/BTB-RERA DETAILS-03-01-2024.xlsx?web=1" xr:uid="{F7F398C9-0B83-4088-81F6-817DD3DAB8BE}"/>
  </hyperlinks>
  <pageMargins left="0.35433070866141736" right="0.23622047244094491" top="0.39370078740157483" bottom="0.39370078740157483" header="0.31496062992125984" footer="0.31496062992125984"/>
  <pageSetup paperSize="8" scale="9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FD89D-5DA2-4437-8BA0-2891FC9B4A28}">
  <dimension ref="A1"/>
  <sheetViews>
    <sheetView workbookViewId="0">
      <selection activeCell="A3" sqref="A3:A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Tower-1 and 2</vt:lpstr>
      <vt:lpstr>Sheet1</vt:lpstr>
      <vt:lpstr>'Tower-1 and 2'!Print_Area</vt:lpstr>
      <vt:lpstr>'Tower-1 and 2'!Print_Titles</vt:lpstr>
    </vt:vector>
  </TitlesOfParts>
  <Company>Brigade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Shiju P John</dc:creator>
  <cp:lastModifiedBy>Shiju P John</cp:lastModifiedBy>
  <cp:lastPrinted>2024-03-18T12:20:30Z</cp:lastPrinted>
  <dcterms:created xsi:type="dcterms:W3CDTF">2018-01-22T09:30:13Z</dcterms:created>
  <dcterms:modified xsi:type="dcterms:W3CDTF">2024-03-19T09:58:31Z</dcterms:modified>
</cp:coreProperties>
</file>