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RERA CALCULATION" sheetId="7" r:id="rId1"/>
  </sheets>
  <externalReferences>
    <externalReference r:id="rId2"/>
    <externalReference r:id="rId3"/>
  </externalReferences>
  <definedNames>
    <definedName name="_xlnm.Print_Area" localSheetId="0">'RERA CALCULATION'!$A$1:$W$46</definedName>
  </definedNames>
  <calcPr calcId="124519"/>
</workbook>
</file>

<file path=xl/calcChain.xml><?xml version="1.0" encoding="utf-8"?>
<calcChain xmlns="http://schemas.openxmlformats.org/spreadsheetml/2006/main">
  <c r="J17" i="7"/>
  <c r="O17"/>
  <c r="R17"/>
  <c r="P17"/>
  <c r="T17"/>
  <c r="W19"/>
  <c r="R37"/>
  <c r="N17"/>
  <c r="G17"/>
  <c r="S17"/>
  <c r="H17"/>
  <c r="I17"/>
  <c r="K17"/>
  <c r="L17"/>
  <c r="M17"/>
  <c r="Q17"/>
  <c r="J16"/>
  <c r="R15"/>
  <c r="Q15"/>
  <c r="O15"/>
  <c r="M15"/>
  <c r="K15"/>
  <c r="H15"/>
  <c r="Q14"/>
  <c r="M14"/>
  <c r="K14"/>
  <c r="H14"/>
  <c r="R13"/>
  <c r="Q13"/>
  <c r="O13"/>
  <c r="M13"/>
  <c r="K13"/>
  <c r="H13"/>
  <c r="Q12"/>
  <c r="M12"/>
  <c r="K12"/>
  <c r="H12"/>
  <c r="R11"/>
  <c r="Q11"/>
  <c r="O11"/>
  <c r="M11"/>
  <c r="K11"/>
  <c r="H11"/>
  <c r="Q10"/>
  <c r="M10"/>
  <c r="K10"/>
  <c r="H10"/>
  <c r="R9"/>
  <c r="A10"/>
  <c r="A11" s="1"/>
  <c r="A12" s="1"/>
  <c r="A13" s="1"/>
  <c r="A14" s="1"/>
  <c r="A15" s="1"/>
  <c r="A16" s="1"/>
  <c r="U17"/>
  <c r="H16" l="1"/>
  <c r="A8"/>
  <c r="A9" s="1"/>
  <c r="C28"/>
  <c r="B28"/>
  <c r="C27"/>
  <c r="C26"/>
  <c r="C25"/>
  <c r="M24"/>
  <c r="C24"/>
  <c r="M23"/>
  <c r="C23"/>
  <c r="M22"/>
  <c r="C22"/>
  <c r="V19"/>
  <c r="U16"/>
  <c r="S16"/>
  <c r="Q16"/>
  <c r="M16"/>
  <c r="K16"/>
  <c r="U14"/>
  <c r="S14"/>
  <c r="U13"/>
  <c r="S13"/>
  <c r="U12"/>
  <c r="S12"/>
  <c r="U11"/>
  <c r="S11"/>
  <c r="U10"/>
  <c r="S10"/>
  <c r="Q23"/>
  <c r="X9"/>
  <c r="X11" s="1"/>
  <c r="U9"/>
  <c r="S9"/>
  <c r="Q24" s="1"/>
  <c r="M9"/>
  <c r="K9"/>
  <c r="H9"/>
  <c r="F9"/>
  <c r="F13" s="1"/>
  <c r="X8"/>
  <c r="X14" s="1"/>
  <c r="U8"/>
  <c r="S8"/>
  <c r="M8"/>
  <c r="K8"/>
  <c r="H8"/>
  <c r="F8"/>
  <c r="F10" s="1"/>
  <c r="F17" s="1"/>
  <c r="X13" l="1"/>
  <c r="C29"/>
  <c r="S19"/>
  <c r="U19"/>
  <c r="T20"/>
  <c r="Q22"/>
  <c r="Q25" s="1"/>
  <c r="X10"/>
  <c r="X17" s="1"/>
  <c r="F12"/>
  <c r="F16"/>
  <c r="F11"/>
  <c r="X12"/>
  <c r="F14"/>
  <c r="X16"/>
  <c r="F19" l="1"/>
  <c r="C31" s="1"/>
  <c r="Y9" l="1"/>
  <c r="Y8"/>
  <c r="Q8" s="1"/>
  <c r="Q9"/>
  <c r="Y11"/>
  <c r="Y10" l="1"/>
  <c r="Y12" s="1"/>
  <c r="Y13"/>
  <c r="Y14" l="1"/>
  <c r="Y16" l="1"/>
  <c r="Y17" s="1"/>
  <c r="Y19" l="1"/>
</calcChain>
</file>

<file path=xl/sharedStrings.xml><?xml version="1.0" encoding="utf-8"?>
<sst xmlns="http://schemas.openxmlformats.org/spreadsheetml/2006/main" count="91" uniqueCount="75">
  <si>
    <t>Super Built-up</t>
  </si>
  <si>
    <t>S.No.</t>
  </si>
  <si>
    <t>Floor</t>
  </si>
  <si>
    <t>Flat No</t>
  </si>
  <si>
    <t>Type</t>
  </si>
  <si>
    <t>(F)</t>
  </si>
  <si>
    <t>(H)</t>
  </si>
  <si>
    <t>3BHK</t>
  </si>
  <si>
    <t>Block</t>
  </si>
  <si>
    <t>Plinth Area (sq.ft.)</t>
  </si>
  <si>
    <t>RERA Carpet Area
(without external walls) (sq.ft.)</t>
  </si>
  <si>
    <t>Carpet Area
(without internal &amp; external walls) (sq.ft.)</t>
  </si>
  <si>
    <t>(b) Exclusive Balcony (sq.m.)</t>
  </si>
  <si>
    <t>Exclusive Balcony (sq.ft.)</t>
  </si>
  <si>
    <t>( c ) Exclusive Verandah / Utility / Service / Open terrace / portico (sq.m)</t>
  </si>
  <si>
    <t>Exclusive Verandah / Utility / Service / Open terrace / portico (sq.ft.)</t>
  </si>
  <si>
    <t xml:space="preserve">(d ) </t>
  </si>
  <si>
    <t>e = ( a+b+c+d )</t>
  </si>
  <si>
    <t>(F )</t>
  </si>
  <si>
    <t>Total Proportionate Common Area (sq.ft.)</t>
  </si>
  <si>
    <t>Total saleable  Area  (sq.ft.)</t>
  </si>
  <si>
    <t>UDS Land Area (sq.ft.)</t>
  </si>
  <si>
    <t>External Wall Area
(sq.ft)</t>
  </si>
  <si>
    <t>Common Area
(sq.ft)</t>
  </si>
  <si>
    <t>Area of external walls  ( sq.m )</t>
  </si>
  <si>
    <t>Floor Area of the apartment  (sq.m)</t>
  </si>
  <si>
    <t xml:space="preserve">Open </t>
  </si>
  <si>
    <t>Covered</t>
  </si>
  <si>
    <t>(A)</t>
  </si>
  <si>
    <t>(B)</t>
  </si>
  <si>
    <t>(C)</t>
  </si>
  <si>
    <t>(F+H)=D</t>
  </si>
  <si>
    <t>(A+B+C+D)=E</t>
  </si>
  <si>
    <t>SINGLE  BLOCK</t>
  </si>
  <si>
    <t>First</t>
  </si>
  <si>
    <t>101</t>
  </si>
  <si>
    <t>4 BHK</t>
  </si>
  <si>
    <t>102</t>
  </si>
  <si>
    <t>Second</t>
  </si>
  <si>
    <t>201</t>
  </si>
  <si>
    <t>202</t>
  </si>
  <si>
    <t>Third</t>
  </si>
  <si>
    <t>301</t>
  </si>
  <si>
    <t>302</t>
  </si>
  <si>
    <t>Fourth</t>
  </si>
  <si>
    <t>Fifth</t>
  </si>
  <si>
    <t>COMMON AREA (sq.ft)</t>
  </si>
  <si>
    <t>Without Common Area
(sq.ft)</t>
  </si>
  <si>
    <t>Total Area
(with common area) (sq.ft.)</t>
  </si>
  <si>
    <t>Typical Floor Lobby(5 floors)</t>
  </si>
  <si>
    <t xml:space="preserve">Unit - A </t>
  </si>
  <si>
    <t>Stilt Floor lobby and security</t>
  </si>
  <si>
    <t xml:space="preserve">Unit - B  </t>
  </si>
  <si>
    <t>Terrace Floor Lobby</t>
  </si>
  <si>
    <t>Unit - C</t>
  </si>
  <si>
    <t>Machine room&amp;water tank</t>
  </si>
  <si>
    <t>Total</t>
  </si>
  <si>
    <t>Gym</t>
  </si>
  <si>
    <t>SUMP + GAS BANK</t>
  </si>
  <si>
    <t>TOTAL (sq.ft)</t>
  </si>
  <si>
    <t>401</t>
  </si>
  <si>
    <t>402</t>
  </si>
  <si>
    <t>501</t>
  </si>
  <si>
    <t>CARPET AREA STATEMENT</t>
  </si>
  <si>
    <t>Grand Total</t>
  </si>
  <si>
    <t>Visitor's car parking</t>
  </si>
  <si>
    <t>Carpet Area statement with total UDS for the least extent.
• If any land reserved for future development, an abstract to be shown in the carpet area statement mentioning the UDS for the approved blocks and UDS for the future development.
• Car parking to be allotted/provided as per the Tamil Nadu Combined Development and Building Rules (TNCDBR), 2019.
• If one car parking is required for two apartments, promoter to clearly mention in the carpet area statement as to how car parking will be allotted.
• Promoter to clearly mention cover, open and visitor carparking.
• Car parking allotted to individual apartment to be shown in the carpet area statement.</t>
  </si>
  <si>
    <t>Notes</t>
  </si>
  <si>
    <t>(a) Carpet Area ( as per Sec2(k) of the RERA Act)
 (sq.m.)</t>
  </si>
  <si>
    <t>Proportionate Common Area (sq.m.)</t>
  </si>
  <si>
    <t>g =  ( e+f ) Gross Area of the apartment  (sq.m)</t>
  </si>
  <si>
    <t>(h )UDS Land Area (sq.m.)</t>
  </si>
  <si>
    <t>(i) Car Parking</t>
  </si>
  <si>
    <t>AT OLD DOOR NO. 05 &amp;  NEW DOOR NO. 17, KRISHNAMMA ROAD AND NAGESWARA ROAD, NUNGAMBAKKAM, CHENNAI-600034 AND COMPRISED IN R.S. NO. 144/5 &amp; 144/15   IN BLOCK NO. 21 OF NUNGAMBAKKAM VILLAGE, EGMORE TALUK AND WITHIN THE LIMITS OF GREATER CHENNAI CORPORATION.</t>
  </si>
  <si>
    <t xml:space="preserve">Project Name - VEDHAGAM </t>
  </si>
</sst>
</file>

<file path=xl/styles.xml><?xml version="1.0" encoding="utf-8"?>
<styleSheet xmlns="http://schemas.openxmlformats.org/spreadsheetml/2006/main">
  <numFmts count="3">
    <numFmt numFmtId="164" formatCode="0.00&quot; &quot;;\(0.00\)"/>
    <numFmt numFmtId="165" formatCode="0.0"/>
    <numFmt numFmtId="166" formatCode="&quot;₹&quot;#,##0.00&quot; &quot;;&quot;(₹&quot;#,##0.00\)"/>
  </numFmts>
  <fonts count="12">
    <font>
      <sz val="11"/>
      <color theme="1"/>
      <name val="Calibri"/>
      <charset val="134"/>
      <scheme val="minor"/>
    </font>
    <font>
      <sz val="11"/>
      <color rgb="FF006100"/>
      <name val="Calibri"/>
      <scheme val="minor"/>
    </font>
    <font>
      <sz val="11"/>
      <color indexed="8"/>
      <name val="Calibri"/>
    </font>
    <font>
      <b/>
      <sz val="11"/>
      <color indexed="8"/>
      <name val="Calibri"/>
      <family val="2"/>
    </font>
    <font>
      <b/>
      <sz val="12"/>
      <color indexed="8"/>
      <name val="Calibri"/>
    </font>
    <font>
      <b/>
      <sz val="11"/>
      <color indexed="8"/>
      <name val="Calibri"/>
    </font>
    <font>
      <b/>
      <sz val="12"/>
      <color indexed="8"/>
      <name val="Calibri"/>
      <family val="2"/>
    </font>
    <font>
      <sz val="11"/>
      <color rgb="FF9C0006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2"/>
      <color indexed="8"/>
      <name val="Calibri"/>
    </font>
    <font>
      <sz val="8"/>
      <name val="Calibri"/>
      <charset val="134"/>
      <scheme val="minor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indexed="16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FFC7CE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17"/>
      </left>
      <right style="thin">
        <color indexed="17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0" borderId="0" applyNumberFormat="0" applyFill="0" applyBorder="0" applyProtection="0"/>
    <xf numFmtId="0" fontId="7" fillId="5" borderId="0" applyNumberFormat="0" applyBorder="0" applyAlignment="0" applyProtection="0"/>
  </cellStyleXfs>
  <cellXfs count="100">
    <xf numFmtId="0" fontId="0" fillId="0" borderId="0" xfId="0"/>
    <xf numFmtId="0" fontId="2" fillId="0" borderId="2" xfId="2" applyBorder="1" applyAlignment="1">
      <alignment horizontal="center"/>
    </xf>
    <xf numFmtId="0" fontId="2" fillId="0" borderId="2" xfId="2" applyBorder="1"/>
    <xf numFmtId="0" fontId="2" fillId="0" borderId="0" xfId="2" applyNumberFormat="1"/>
    <xf numFmtId="49" fontId="1" fillId="2" borderId="4" xfId="1" applyNumberFormat="1" applyBorder="1" applyAlignment="1">
      <alignment horizontal="center" vertical="center" wrapText="1"/>
    </xf>
    <xf numFmtId="0" fontId="1" fillId="2" borderId="4" xfId="1" applyNumberFormat="1" applyBorder="1" applyAlignment="1">
      <alignment horizontal="center"/>
    </xf>
    <xf numFmtId="0" fontId="1" fillId="2" borderId="4" xfId="1" applyBorder="1" applyAlignment="1">
      <alignment vertical="center" wrapText="1"/>
    </xf>
    <xf numFmtId="49" fontId="1" fillId="2" borderId="4" xfId="1" applyNumberFormat="1" applyBorder="1" applyAlignment="1">
      <alignment vertical="center" wrapText="1"/>
    </xf>
    <xf numFmtId="0" fontId="1" fillId="2" borderId="4" xfId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0" fontId="5" fillId="4" borderId="0" xfId="2" applyFont="1" applyFill="1" applyBorder="1" applyAlignment="1">
      <alignment vertical="center"/>
    </xf>
    <xf numFmtId="49" fontId="4" fillId="0" borderId="2" xfId="2" applyNumberFormat="1" applyFont="1" applyBorder="1" applyAlignment="1">
      <alignment horizontal="center" vertical="center" wrapText="1"/>
    </xf>
    <xf numFmtId="0" fontId="3" fillId="0" borderId="4" xfId="2" applyNumberFormat="1" applyFont="1" applyBorder="1" applyAlignment="1">
      <alignment horizontal="center"/>
    </xf>
    <xf numFmtId="49" fontId="3" fillId="0" borderId="4" xfId="2" applyNumberFormat="1" applyFont="1" applyBorder="1" applyAlignment="1">
      <alignment wrapText="1" readingOrder="1"/>
    </xf>
    <xf numFmtId="49" fontId="3" fillId="0" borderId="4" xfId="2" applyNumberFormat="1" applyFont="1" applyBorder="1" applyAlignment="1">
      <alignment horizontal="center" wrapText="1" readingOrder="1"/>
    </xf>
    <xf numFmtId="2" fontId="3" fillId="0" borderId="4" xfId="2" applyNumberFormat="1" applyFont="1" applyBorder="1" applyAlignment="1">
      <alignment horizontal="center" vertical="center"/>
    </xf>
    <xf numFmtId="4" fontId="3" fillId="0" borderId="4" xfId="2" applyNumberFormat="1" applyFont="1" applyBorder="1" applyAlignment="1">
      <alignment horizontal="center" vertical="center" wrapText="1" readingOrder="1"/>
    </xf>
    <xf numFmtId="0" fontId="3" fillId="0" borderId="4" xfId="2" applyNumberFormat="1" applyFont="1" applyBorder="1" applyAlignment="1">
      <alignment horizontal="center" vertical="center" wrapText="1" readingOrder="1"/>
    </xf>
    <xf numFmtId="1" fontId="3" fillId="0" borderId="4" xfId="2" applyNumberFormat="1" applyFont="1" applyBorder="1" applyAlignment="1">
      <alignment horizontal="center" vertical="center"/>
    </xf>
    <xf numFmtId="0" fontId="3" fillId="0" borderId="5" xfId="2" applyNumberFormat="1" applyFont="1" applyBorder="1" applyAlignment="1">
      <alignment horizontal="center" vertical="center" wrapText="1" readingOrder="1"/>
    </xf>
    <xf numFmtId="0" fontId="6" fillId="0" borderId="4" xfId="2" applyFont="1" applyBorder="1" applyAlignment="1">
      <alignment horizontal="center" vertical="center"/>
    </xf>
    <xf numFmtId="2" fontId="2" fillId="0" borderId="2" xfId="2" applyNumberFormat="1" applyBorder="1" applyAlignment="1">
      <alignment horizontal="center" vertical="center"/>
    </xf>
    <xf numFmtId="0" fontId="3" fillId="0" borderId="6" xfId="2" applyFont="1" applyBorder="1" applyAlignment="1">
      <alignment horizontal="center"/>
    </xf>
    <xf numFmtId="49" fontId="3" fillId="0" borderId="6" xfId="2" applyNumberFormat="1" applyFont="1" applyBorder="1"/>
    <xf numFmtId="0" fontId="3" fillId="0" borderId="6" xfId="2" applyFont="1" applyBorder="1" applyAlignment="1">
      <alignment horizontal="center" vertical="center"/>
    </xf>
    <xf numFmtId="164" fontId="3" fillId="0" borderId="6" xfId="2" applyNumberFormat="1" applyFont="1" applyBorder="1" applyAlignment="1">
      <alignment horizontal="center" vertical="center"/>
    </xf>
    <xf numFmtId="0" fontId="3" fillId="0" borderId="6" xfId="2" applyFont="1" applyBorder="1"/>
    <xf numFmtId="2" fontId="3" fillId="0" borderId="6" xfId="2" applyNumberFormat="1" applyFont="1" applyBorder="1" applyAlignment="1">
      <alignment horizontal="center" vertical="center"/>
    </xf>
    <xf numFmtId="0" fontId="9" fillId="0" borderId="2" xfId="2" applyFont="1" applyBorder="1" applyAlignment="1">
      <alignment horizontal="center"/>
    </xf>
    <xf numFmtId="0" fontId="9" fillId="0" borderId="2" xfId="2" applyFont="1" applyBorder="1"/>
    <xf numFmtId="165" fontId="1" fillId="2" borderId="2" xfId="1" applyNumberFormat="1" applyBorder="1" applyAlignment="1">
      <alignment horizontal="center" vertical="center"/>
    </xf>
    <xf numFmtId="0" fontId="9" fillId="3" borderId="2" xfId="2" applyFont="1" applyFill="1" applyBorder="1" applyAlignment="1">
      <alignment horizontal="center"/>
    </xf>
    <xf numFmtId="2" fontId="5" fillId="3" borderId="2" xfId="2" applyNumberFormat="1" applyFont="1" applyFill="1" applyBorder="1" applyAlignment="1">
      <alignment horizontal="center" vertical="center"/>
    </xf>
    <xf numFmtId="0" fontId="2" fillId="0" borderId="3" xfId="2" applyBorder="1" applyAlignment="1">
      <alignment horizontal="center"/>
    </xf>
    <xf numFmtId="0" fontId="2" fillId="0" borderId="3" xfId="2" applyBorder="1" applyAlignment="1">
      <alignment horizontal="left"/>
    </xf>
    <xf numFmtId="0" fontId="2" fillId="4" borderId="3" xfId="2" applyFill="1" applyBorder="1" applyAlignment="1">
      <alignment horizontal="center" vertical="center"/>
    </xf>
    <xf numFmtId="2" fontId="2" fillId="4" borderId="3" xfId="2" applyNumberFormat="1" applyFill="1" applyBorder="1" applyAlignment="1">
      <alignment horizontal="center" wrapText="1"/>
    </xf>
    <xf numFmtId="2" fontId="2" fillId="4" borderId="3" xfId="2" applyNumberFormat="1" applyFill="1" applyBorder="1" applyAlignment="1">
      <alignment horizontal="center" vertical="center" wrapText="1"/>
    </xf>
    <xf numFmtId="2" fontId="5" fillId="4" borderId="3" xfId="2" applyNumberFormat="1" applyFont="1" applyFill="1" applyBorder="1" applyAlignment="1">
      <alignment horizontal="center" vertical="center"/>
    </xf>
    <xf numFmtId="0" fontId="2" fillId="0" borderId="0" xfId="2" applyBorder="1" applyAlignment="1">
      <alignment horizontal="center"/>
    </xf>
    <xf numFmtId="0" fontId="2" fillId="4" borderId="0" xfId="2" applyFill="1" applyBorder="1" applyAlignment="1">
      <alignment horizontal="center" vertical="center"/>
    </xf>
    <xf numFmtId="2" fontId="2" fillId="4" borderId="0" xfId="2" applyNumberFormat="1" applyFill="1" applyBorder="1" applyAlignment="1">
      <alignment horizontal="center" vertical="center"/>
    </xf>
    <xf numFmtId="49" fontId="4" fillId="4" borderId="0" xfId="2" applyNumberFormat="1" applyFont="1" applyFill="1" applyBorder="1" applyAlignment="1">
      <alignment horizontal="center" vertical="center" wrapText="1"/>
    </xf>
    <xf numFmtId="0" fontId="2" fillId="0" borderId="0" xfId="2" applyBorder="1"/>
    <xf numFmtId="0" fontId="2" fillId="4" borderId="0" xfId="2" applyNumberFormat="1" applyFill="1" applyBorder="1" applyAlignment="1">
      <alignment horizontal="center" vertical="center"/>
    </xf>
    <xf numFmtId="49" fontId="2" fillId="4" borderId="0" xfId="2" applyNumberFormat="1" applyFill="1" applyBorder="1" applyAlignment="1">
      <alignment horizontal="left" vertical="center" wrapText="1" readingOrder="1"/>
    </xf>
    <xf numFmtId="2" fontId="2" fillId="4" borderId="0" xfId="2" applyNumberFormat="1" applyFill="1" applyBorder="1" applyAlignment="1">
      <alignment horizontal="right" vertical="center"/>
    </xf>
    <xf numFmtId="49" fontId="5" fillId="4" borderId="0" xfId="2" applyNumberFormat="1" applyFont="1" applyFill="1" applyBorder="1" applyAlignment="1">
      <alignment horizontal="center" vertical="center" wrapText="1"/>
    </xf>
    <xf numFmtId="1" fontId="2" fillId="4" borderId="0" xfId="2" applyNumberFormat="1" applyFill="1" applyBorder="1" applyAlignment="1">
      <alignment horizontal="center" vertical="center"/>
    </xf>
    <xf numFmtId="49" fontId="5" fillId="4" borderId="0" xfId="2" applyNumberFormat="1" applyFont="1" applyFill="1" applyBorder="1" applyAlignment="1">
      <alignment horizontal="center" vertical="center"/>
    </xf>
    <xf numFmtId="2" fontId="5" fillId="4" borderId="0" xfId="2" applyNumberFormat="1" applyFont="1" applyFill="1" applyBorder="1" applyAlignment="1">
      <alignment horizontal="center" vertical="center"/>
    </xf>
    <xf numFmtId="49" fontId="2" fillId="4" borderId="0" xfId="2" applyNumberFormat="1" applyFill="1" applyBorder="1" applyAlignment="1">
      <alignment horizontal="center" vertical="top" wrapText="1"/>
    </xf>
    <xf numFmtId="1" fontId="2" fillId="4" borderId="0" xfId="2" applyNumberFormat="1" applyFill="1" applyBorder="1" applyAlignment="1">
      <alignment horizontal="center" vertical="top"/>
    </xf>
    <xf numFmtId="0" fontId="2" fillId="4" borderId="0" xfId="2" applyFill="1" applyBorder="1" applyAlignment="1">
      <alignment horizontal="center" vertical="center" wrapText="1"/>
    </xf>
    <xf numFmtId="166" fontId="2" fillId="4" borderId="0" xfId="2" applyNumberForma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top" wrapText="1"/>
    </xf>
    <xf numFmtId="2" fontId="5" fillId="3" borderId="0" xfId="2" applyNumberFormat="1" applyFont="1" applyFill="1" applyBorder="1" applyAlignment="1">
      <alignment horizontal="right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left" vertical="center"/>
    </xf>
    <xf numFmtId="0" fontId="5" fillId="4" borderId="0" xfId="2" applyFont="1" applyFill="1" applyBorder="1" applyAlignment="1">
      <alignment horizontal="right" vertical="center"/>
    </xf>
    <xf numFmtId="0" fontId="2" fillId="4" borderId="0" xfId="2" applyFill="1" applyBorder="1" applyAlignment="1">
      <alignment horizontal="left" vertical="center"/>
    </xf>
    <xf numFmtId="10" fontId="2" fillId="4" borderId="0" xfId="2" applyNumberFormat="1" applyFill="1" applyBorder="1" applyAlignment="1">
      <alignment horizontal="right" vertical="center"/>
    </xf>
    <xf numFmtId="0" fontId="2" fillId="0" borderId="7" xfId="2" applyBorder="1" applyAlignment="1">
      <alignment horizontal="center"/>
    </xf>
    <xf numFmtId="0" fontId="2" fillId="0" borderId="7" xfId="2" applyBorder="1"/>
    <xf numFmtId="0" fontId="2" fillId="4" borderId="7" xfId="2" applyFill="1" applyBorder="1" applyAlignment="1">
      <alignment horizontal="center" vertical="center"/>
    </xf>
    <xf numFmtId="2" fontId="2" fillId="4" borderId="7" xfId="2" applyNumberFormat="1" applyFill="1" applyBorder="1" applyAlignment="1">
      <alignment horizontal="center" vertical="center"/>
    </xf>
    <xf numFmtId="2" fontId="2" fillId="0" borderId="7" xfId="2" applyNumberFormat="1" applyBorder="1" applyAlignment="1">
      <alignment horizontal="center"/>
    </xf>
    <xf numFmtId="164" fontId="1" fillId="0" borderId="2" xfId="1" applyNumberFormat="1" applyFill="1" applyBorder="1" applyAlignment="1">
      <alignment horizontal="center" vertical="center"/>
    </xf>
    <xf numFmtId="0" fontId="2" fillId="0" borderId="0" xfId="2" applyNumberFormat="1"/>
    <xf numFmtId="0" fontId="8" fillId="0" borderId="4" xfId="3" applyNumberFormat="1" applyFont="1" applyFill="1" applyBorder="1" applyAlignment="1">
      <alignment horizontal="center" vertical="center" wrapText="1" readingOrder="1"/>
    </xf>
    <xf numFmtId="3" fontId="3" fillId="0" borderId="10" xfId="2" applyNumberFormat="1" applyFont="1" applyBorder="1" applyAlignment="1">
      <alignment horizontal="center" vertical="center"/>
    </xf>
    <xf numFmtId="1" fontId="1" fillId="2" borderId="11" xfId="1" applyNumberFormat="1" applyBorder="1" applyAlignment="1">
      <alignment horizontal="center" vertical="center"/>
    </xf>
    <xf numFmtId="1" fontId="1" fillId="2" borderId="12" xfId="1" applyNumberFormat="1" applyBorder="1" applyAlignment="1">
      <alignment horizontal="center" vertical="center"/>
    </xf>
    <xf numFmtId="3" fontId="3" fillId="0" borderId="4" xfId="2" applyNumberFormat="1" applyFont="1" applyBorder="1" applyAlignment="1">
      <alignment horizontal="center" vertical="center"/>
    </xf>
    <xf numFmtId="164" fontId="1" fillId="2" borderId="4" xfId="1" applyNumberFormat="1" applyBorder="1" applyAlignment="1">
      <alignment horizontal="center" vertical="center"/>
    </xf>
    <xf numFmtId="1" fontId="1" fillId="2" borderId="4" xfId="1" applyNumberFormat="1" applyBorder="1" applyAlignment="1">
      <alignment horizontal="center" vertical="center"/>
    </xf>
    <xf numFmtId="0" fontId="11" fillId="0" borderId="0" xfId="2" applyNumberFormat="1" applyFont="1"/>
    <xf numFmtId="49" fontId="3" fillId="0" borderId="3" xfId="2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wrapText="1"/>
    </xf>
    <xf numFmtId="49" fontId="3" fillId="0" borderId="4" xfId="2" applyNumberFormat="1" applyFont="1" applyBorder="1" applyAlignment="1">
      <alignment horizontal="center"/>
    </xf>
    <xf numFmtId="0" fontId="2" fillId="0" borderId="0" xfId="2" applyNumberFormat="1" applyAlignment="1">
      <alignment wrapText="1"/>
    </xf>
    <xf numFmtId="0" fontId="2" fillId="0" borderId="0" xfId="2" applyNumberFormat="1"/>
    <xf numFmtId="49" fontId="1" fillId="2" borderId="4" xfId="1" applyNumberFormat="1" applyBorder="1" applyAlignment="1">
      <alignment horizontal="center" vertical="center" wrapText="1"/>
    </xf>
    <xf numFmtId="0" fontId="1" fillId="2" borderId="4" xfId="1" applyBorder="1" applyAlignment="1"/>
    <xf numFmtId="49" fontId="1" fillId="2" borderId="4" xfId="1" applyNumberFormat="1" applyBorder="1" applyAlignment="1">
      <alignment horizontal="center" vertical="center"/>
    </xf>
    <xf numFmtId="0" fontId="3" fillId="0" borderId="4" xfId="2" applyNumberFormat="1" applyFont="1" applyBorder="1" applyAlignment="1">
      <alignment horizontal="center" vertical="center" wrapText="1"/>
    </xf>
    <xf numFmtId="49" fontId="1" fillId="0" borderId="2" xfId="1" applyNumberFormat="1" applyFill="1" applyBorder="1" applyAlignment="1">
      <alignment horizontal="center"/>
    </xf>
    <xf numFmtId="0" fontId="1" fillId="0" borderId="2" xfId="1" applyFill="1" applyBorder="1" applyAlignment="1"/>
    <xf numFmtId="49" fontId="5" fillId="3" borderId="0" xfId="2" applyNumberFormat="1" applyFont="1" applyFill="1" applyBorder="1" applyAlignment="1">
      <alignment horizontal="left" vertical="center"/>
    </xf>
    <xf numFmtId="0" fontId="2" fillId="0" borderId="0" xfId="2" applyBorder="1"/>
    <xf numFmtId="49" fontId="5" fillId="3" borderId="0" xfId="2" applyNumberFormat="1" applyFont="1" applyFill="1" applyBorder="1" applyAlignment="1">
      <alignment horizontal="center" vertical="center"/>
    </xf>
    <xf numFmtId="0" fontId="3" fillId="0" borderId="5" xfId="2" applyNumberFormat="1" applyFont="1" applyBorder="1" applyAlignment="1">
      <alignment horizontal="center"/>
    </xf>
    <xf numFmtId="0" fontId="3" fillId="0" borderId="8" xfId="2" applyNumberFormat="1" applyFont="1" applyBorder="1" applyAlignment="1">
      <alignment horizontal="center"/>
    </xf>
    <xf numFmtId="0" fontId="3" fillId="0" borderId="9" xfId="2" applyNumberFormat="1" applyFont="1" applyBorder="1" applyAlignment="1">
      <alignment horizontal="center"/>
    </xf>
    <xf numFmtId="49" fontId="4" fillId="0" borderId="2" xfId="2" applyNumberFormat="1" applyFont="1" applyBorder="1" applyAlignment="1">
      <alignment horizontal="left"/>
    </xf>
    <xf numFmtId="0" fontId="2" fillId="0" borderId="2" xfId="2" applyBorder="1"/>
    <xf numFmtId="49" fontId="5" fillId="3" borderId="2" xfId="2" applyNumberFormat="1" applyFont="1" applyFill="1" applyBorder="1" applyAlignment="1">
      <alignment horizontal="center" vertical="center" wrapText="1"/>
    </xf>
  </cellXfs>
  <cellStyles count="4">
    <cellStyle name="Bad 2" xfId="3"/>
    <cellStyle name="Good" xfId="1" builtinId="26"/>
    <cellStyle name="Normal" xfId="0" builtinId="0"/>
    <cellStyle name="Normal 2" xfId="2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00FF"/>
      <color rgb="FFFF1515"/>
      <color rgb="FFF7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3\drawing\GFC\AMARA%20-%20antara\area%20statement\rera%20statement\20250704_ANTARA%20SALEABLE%20&amp;%20RERA%20ARE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3\drawing\GFC\AMARA%20-%20aneja\area%20statement\22.08.2025_AMARA%20ANEJA_SALE%20AREA%20CALCULATIO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ALEABLE AREAS"/>
      <sheetName val="AREAS-CLIENT VIEW"/>
    </sheetNames>
    <sheetDataSet>
      <sheetData sheetId="0">
        <row r="13">
          <cell r="D13">
            <v>2502.84528</v>
          </cell>
        </row>
        <row r="14">
          <cell r="D14">
            <v>2396.9275199999997</v>
          </cell>
        </row>
        <row r="22">
          <cell r="C22">
            <v>379.75391999999999</v>
          </cell>
        </row>
        <row r="23">
          <cell r="C23">
            <v>379.75391999999999</v>
          </cell>
        </row>
        <row r="24">
          <cell r="C24">
            <v>379.75391999999999</v>
          </cell>
        </row>
        <row r="25">
          <cell r="C25">
            <v>379.75391999999999</v>
          </cell>
        </row>
        <row r="26">
          <cell r="C26">
            <v>379.75391999999999</v>
          </cell>
        </row>
        <row r="27">
          <cell r="C27">
            <v>348.00011999999998</v>
          </cell>
        </row>
        <row r="28">
          <cell r="C28">
            <v>717.85115999999994</v>
          </cell>
        </row>
        <row r="29">
          <cell r="C29">
            <v>269.09999999999997</v>
          </cell>
        </row>
        <row r="30">
          <cell r="C30">
            <v>959.61059999999998</v>
          </cell>
        </row>
        <row r="31">
          <cell r="C31">
            <v>202.36320000000001</v>
          </cell>
        </row>
        <row r="32">
          <cell r="A32" t="str">
            <v>shaft</v>
          </cell>
          <cell r="C32">
            <v>573.07535999999993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REAS-CLIENT VIEW ( Combined)"/>
      <sheetName val="SHEET 01 (2)"/>
      <sheetName val="Sheet1"/>
      <sheetName val="AREAS-CLIENT VIEW split"/>
    </sheetNames>
    <sheetDataSet>
      <sheetData sheetId="0" refreshError="1">
        <row r="9">
          <cell r="H9">
            <v>1887.6826799999999</v>
          </cell>
        </row>
        <row r="10">
          <cell r="H10">
            <v>2019.5416799999998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6"/>
  <sheetViews>
    <sheetView showGridLines="0" tabSelected="1" zoomScale="85" zoomScaleNormal="85" workbookViewId="0">
      <selection sqref="A1:W46"/>
    </sheetView>
  </sheetViews>
  <sheetFormatPr defaultColWidth="14.42578125" defaultRowHeight="15.4" customHeight="1"/>
  <cols>
    <col min="1" max="1" width="6.42578125" style="3" customWidth="1"/>
    <col min="2" max="2" width="13" style="3" customWidth="1"/>
    <col min="3" max="3" width="11.42578125" style="3" customWidth="1"/>
    <col min="4" max="4" width="8.42578125" style="3" customWidth="1"/>
    <col min="5" max="5" width="9.42578125" style="3" customWidth="1"/>
    <col min="6" max="6" width="10.42578125" style="3" hidden="1" customWidth="1"/>
    <col min="7" max="7" width="18.5703125" style="3" customWidth="1"/>
    <col min="8" max="8" width="22.140625" style="3" hidden="1" customWidth="1"/>
    <col min="9" max="9" width="22.42578125" style="3" hidden="1" customWidth="1"/>
    <col min="10" max="10" width="22.42578125" style="3" customWidth="1"/>
    <col min="11" max="11" width="15.42578125" style="3" hidden="1" customWidth="1"/>
    <col min="12" max="12" width="15.42578125" style="3" customWidth="1"/>
    <col min="13" max="13" width="21.140625" style="3" hidden="1" customWidth="1"/>
    <col min="14" max="16" width="21.140625" style="3" customWidth="1"/>
    <col min="17" max="17" width="22.85546875" style="3" hidden="1" customWidth="1"/>
    <col min="18" max="18" width="22.85546875" style="3" customWidth="1"/>
    <col min="19" max="19" width="14.42578125" style="3" hidden="1" customWidth="1"/>
    <col min="20" max="20" width="24" style="3" bestFit="1" customWidth="1"/>
    <col min="21" max="21" width="12.42578125" style="3" hidden="1" customWidth="1"/>
    <col min="22" max="22" width="6.28515625" style="3" bestFit="1" customWidth="1"/>
    <col min="23" max="23" width="9.5703125" style="3" customWidth="1"/>
    <col min="24" max="24" width="17.28515625" style="3" hidden="1" customWidth="1"/>
    <col min="25" max="25" width="14.85546875" style="3" hidden="1" customWidth="1"/>
    <col min="26" max="26" width="14.42578125" style="3" customWidth="1"/>
    <col min="27" max="16384" width="14.42578125" style="3"/>
  </cols>
  <sheetData>
    <row r="1" spans="1:25" ht="24.95" customHeight="1">
      <c r="A1" s="79" t="s">
        <v>74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1"/>
      <c r="Y1" s="2"/>
    </row>
    <row r="2" spans="1:25" ht="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1"/>
      <c r="Y2" s="2"/>
    </row>
    <row r="3" spans="1:25" ht="15">
      <c r="A3" s="82" t="s">
        <v>63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1"/>
      <c r="Y3" s="2"/>
    </row>
    <row r="4" spans="1:25" ht="37.5" customHeight="1">
      <c r="A4" s="81" t="s">
        <v>73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97" t="s">
        <v>0</v>
      </c>
      <c r="Y4" s="98"/>
    </row>
    <row r="5" spans="1:25" ht="24.95" customHeight="1">
      <c r="A5" s="87" t="s">
        <v>1</v>
      </c>
      <c r="B5" s="87" t="s">
        <v>8</v>
      </c>
      <c r="C5" s="85" t="s">
        <v>2</v>
      </c>
      <c r="D5" s="87" t="s">
        <v>3</v>
      </c>
      <c r="E5" s="87" t="s">
        <v>4</v>
      </c>
      <c r="F5" s="85" t="s">
        <v>9</v>
      </c>
      <c r="G5" s="85" t="s">
        <v>68</v>
      </c>
      <c r="H5" s="85" t="s">
        <v>10</v>
      </c>
      <c r="I5" s="85" t="s">
        <v>11</v>
      </c>
      <c r="J5" s="85" t="s">
        <v>12</v>
      </c>
      <c r="K5" s="85" t="s">
        <v>13</v>
      </c>
      <c r="L5" s="85" t="s">
        <v>14</v>
      </c>
      <c r="M5" s="85" t="s">
        <v>15</v>
      </c>
      <c r="N5" s="4" t="s">
        <v>16</v>
      </c>
      <c r="O5" s="4" t="s">
        <v>17</v>
      </c>
      <c r="P5" s="5" t="s">
        <v>18</v>
      </c>
      <c r="Q5" s="85" t="s">
        <v>19</v>
      </c>
      <c r="R5" s="85" t="s">
        <v>70</v>
      </c>
      <c r="S5" s="85" t="s">
        <v>20</v>
      </c>
      <c r="T5" s="85" t="s">
        <v>71</v>
      </c>
      <c r="U5" s="85" t="s">
        <v>21</v>
      </c>
      <c r="V5" s="87" t="s">
        <v>72</v>
      </c>
      <c r="W5" s="87"/>
      <c r="X5" s="99" t="s">
        <v>22</v>
      </c>
      <c r="Y5" s="99" t="s">
        <v>23</v>
      </c>
    </row>
    <row r="6" spans="1:25" ht="56.25" customHeight="1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6" t="s">
        <v>24</v>
      </c>
      <c r="O6" s="6" t="s">
        <v>25</v>
      </c>
      <c r="P6" s="7" t="s">
        <v>69</v>
      </c>
      <c r="Q6" s="86"/>
      <c r="R6" s="86"/>
      <c r="S6" s="86"/>
      <c r="T6" s="86"/>
      <c r="U6" s="86"/>
      <c r="V6" s="8" t="s">
        <v>26</v>
      </c>
      <c r="W6" s="8" t="s">
        <v>27</v>
      </c>
      <c r="X6" s="98"/>
      <c r="Y6" s="98"/>
    </row>
    <row r="7" spans="1:25" ht="35.25" hidden="1" customHeight="1">
      <c r="A7" s="9"/>
      <c r="B7" s="9"/>
      <c r="C7" s="10"/>
      <c r="D7" s="9"/>
      <c r="E7" s="9"/>
      <c r="F7" s="10"/>
      <c r="G7" s="11" t="s">
        <v>28</v>
      </c>
      <c r="H7" s="11" t="s">
        <v>28</v>
      </c>
      <c r="I7" s="10"/>
      <c r="J7" s="11" t="s">
        <v>29</v>
      </c>
      <c r="K7" s="11" t="s">
        <v>29</v>
      </c>
      <c r="L7" s="11" t="s">
        <v>30</v>
      </c>
      <c r="M7" s="11" t="s">
        <v>30</v>
      </c>
      <c r="N7" s="11"/>
      <c r="O7" s="11"/>
      <c r="P7" s="11" t="s">
        <v>31</v>
      </c>
      <c r="Q7" s="11" t="s">
        <v>31</v>
      </c>
      <c r="R7" s="11" t="s">
        <v>32</v>
      </c>
      <c r="S7" s="11" t="s">
        <v>32</v>
      </c>
      <c r="T7" s="10"/>
      <c r="U7" s="10"/>
      <c r="V7" s="10"/>
      <c r="W7" s="12"/>
      <c r="X7" s="13" t="s">
        <v>5</v>
      </c>
      <c r="Y7" s="13" t="s">
        <v>6</v>
      </c>
    </row>
    <row r="8" spans="1:25" ht="24.95" customHeight="1">
      <c r="A8" s="14">
        <f>1</f>
        <v>1</v>
      </c>
      <c r="B8" s="88" t="s">
        <v>33</v>
      </c>
      <c r="C8" s="15" t="s">
        <v>34</v>
      </c>
      <c r="D8" s="16" t="s">
        <v>35</v>
      </c>
      <c r="E8" s="16" t="s">
        <v>7</v>
      </c>
      <c r="F8" s="17">
        <f>'[1]SALEABLE AREAS'!D13</f>
        <v>2502.84528</v>
      </c>
      <c r="G8" s="18">
        <v>125.68</v>
      </c>
      <c r="H8" s="18">
        <f>'[2]AREAS-CLIENT VIEW ( Combined)'!H7</f>
        <v>2205.2206799999999</v>
      </c>
      <c r="I8" s="19">
        <v>2237.3000000000002</v>
      </c>
      <c r="J8" s="18">
        <v>5.25</v>
      </c>
      <c r="K8" s="17">
        <f>9.96*10.764</f>
        <v>107.20944</v>
      </c>
      <c r="L8" s="18">
        <v>0</v>
      </c>
      <c r="M8" s="17">
        <f>3.81*10.764</f>
        <v>41.010839999999995</v>
      </c>
      <c r="N8" s="17">
        <v>10.11</v>
      </c>
      <c r="O8" s="17">
        <v>141.04</v>
      </c>
      <c r="P8" s="18">
        <v>20.61</v>
      </c>
      <c r="Q8" s="17">
        <f t="shared" ref="Q8:Q9" si="0">X8+Y8</f>
        <v>793.3252276406065</v>
      </c>
      <c r="R8" s="18">
        <v>161.65</v>
      </c>
      <c r="S8" s="17">
        <f>'[2]AREAS-CLIENT VIEW ( Combined)'!Q7</f>
        <v>3417.6823236966611</v>
      </c>
      <c r="T8" s="18">
        <v>63.99</v>
      </c>
      <c r="U8" s="20">
        <f>'[2]AREAS-CLIENT VIEW ( Combined)'!T7</f>
        <v>1016.4971975972563</v>
      </c>
      <c r="V8" s="21"/>
      <c r="W8" s="22">
        <v>1</v>
      </c>
      <c r="X8" s="23">
        <f>15.07*10.764</f>
        <v>162.21348</v>
      </c>
      <c r="Y8" s="23">
        <f>F8*C31</f>
        <v>631.1117476406065</v>
      </c>
    </row>
    <row r="9" spans="1:25" ht="24.95" customHeight="1">
      <c r="A9" s="14">
        <f>A8+1</f>
        <v>2</v>
      </c>
      <c r="B9" s="88"/>
      <c r="C9" s="15" t="s">
        <v>34</v>
      </c>
      <c r="D9" s="16" t="s">
        <v>37</v>
      </c>
      <c r="E9" s="16" t="s">
        <v>7</v>
      </c>
      <c r="F9" s="17">
        <f>'[1]SALEABLE AREAS'!D14</f>
        <v>2396.9275199999997</v>
      </c>
      <c r="G9" s="18">
        <v>124.53</v>
      </c>
      <c r="H9" s="18">
        <f>'[2]AREAS-CLIENT VIEW ( Combined)'!H8</f>
        <v>1887.6826799999999</v>
      </c>
      <c r="I9" s="19">
        <v>2154.5700000000002</v>
      </c>
      <c r="J9" s="18">
        <v>5.25</v>
      </c>
      <c r="K9" s="17">
        <f>10.41*10.764</f>
        <v>112.05323999999999</v>
      </c>
      <c r="L9" s="18">
        <v>0</v>
      </c>
      <c r="M9" s="17">
        <f>4.78*10.764</f>
        <v>51.451920000000001</v>
      </c>
      <c r="N9" s="17">
        <v>10.050000000000001</v>
      </c>
      <c r="O9" s="17">
        <v>139.83000000000001</v>
      </c>
      <c r="P9" s="18">
        <v>20.43</v>
      </c>
      <c r="Q9" s="17">
        <f t="shared" si="0"/>
        <v>748.96428726565557</v>
      </c>
      <c r="R9" s="18">
        <f>1725/10.764</f>
        <v>160.25641025641028</v>
      </c>
      <c r="S9" s="17">
        <f>'[2]AREAS-CLIENT VIEW ( Combined)'!Q8</f>
        <v>2798.6568144988396</v>
      </c>
      <c r="T9" s="18">
        <v>63.44</v>
      </c>
      <c r="U9" s="20">
        <f>'[2]AREAS-CLIENT VIEW ( Combined)'!T8</f>
        <v>832.38479751315538</v>
      </c>
      <c r="V9" s="21"/>
      <c r="W9" s="22">
        <v>1</v>
      </c>
      <c r="X9" s="23">
        <f>13.43*10.764</f>
        <v>144.56052</v>
      </c>
      <c r="Y9" s="23">
        <f>F9*C31</f>
        <v>604.40376726565557</v>
      </c>
    </row>
    <row r="10" spans="1:25" ht="24.95" customHeight="1">
      <c r="A10" s="14">
        <f t="shared" ref="A10:A16" si="1">A9+1</f>
        <v>3</v>
      </c>
      <c r="B10" s="88"/>
      <c r="C10" s="15" t="s">
        <v>38</v>
      </c>
      <c r="D10" s="16" t="s">
        <v>39</v>
      </c>
      <c r="E10" s="16" t="s">
        <v>7</v>
      </c>
      <c r="F10" s="17">
        <f>F8</f>
        <v>2502.84528</v>
      </c>
      <c r="G10" s="18">
        <v>125.68</v>
      </c>
      <c r="H10" s="18">
        <f>'[2]AREAS-CLIENT VIEW ( Combined)'!H9</f>
        <v>1887.6826799999999</v>
      </c>
      <c r="I10" s="19">
        <v>2237.3000000000002</v>
      </c>
      <c r="J10" s="18">
        <v>5.25</v>
      </c>
      <c r="K10" s="17">
        <f>9.96*10.764</f>
        <v>107.20944</v>
      </c>
      <c r="L10" s="18">
        <v>0</v>
      </c>
      <c r="M10" s="17">
        <f>3.81*10.764</f>
        <v>41.010839999999995</v>
      </c>
      <c r="N10" s="17">
        <v>10.11</v>
      </c>
      <c r="O10" s="17">
        <v>141.04</v>
      </c>
      <c r="P10" s="18">
        <v>20.61</v>
      </c>
      <c r="Q10" s="17">
        <f t="shared" ref="Q10:Q13" si="2">X10+Y10</f>
        <v>793.3252276406065</v>
      </c>
      <c r="R10" s="18">
        <v>161.65</v>
      </c>
      <c r="S10" s="17">
        <f>'[2]AREAS-CLIENT VIEW ( Combined)'!Q10</f>
        <v>3558.1865932691462</v>
      </c>
      <c r="T10" s="18">
        <v>63.99</v>
      </c>
      <c r="U10" s="20">
        <f>'[2]AREAS-CLIENT VIEW ( Combined)'!T10</f>
        <v>1058.2863935329397</v>
      </c>
      <c r="V10" s="21"/>
      <c r="W10" s="22">
        <v>1</v>
      </c>
      <c r="X10" s="23">
        <f>X8</f>
        <v>162.21348</v>
      </c>
      <c r="Y10" s="23">
        <f>Y8</f>
        <v>631.1117476406065</v>
      </c>
    </row>
    <row r="11" spans="1:25" ht="24.95" customHeight="1">
      <c r="A11" s="14">
        <f t="shared" si="1"/>
        <v>4</v>
      </c>
      <c r="B11" s="88"/>
      <c r="C11" s="15" t="s">
        <v>38</v>
      </c>
      <c r="D11" s="16" t="s">
        <v>40</v>
      </c>
      <c r="E11" s="16" t="s">
        <v>7</v>
      </c>
      <c r="F11" s="17">
        <f>F9</f>
        <v>2396.9275199999997</v>
      </c>
      <c r="G11" s="18">
        <v>124.53</v>
      </c>
      <c r="H11" s="18">
        <f>'[2]AREAS-CLIENT VIEW ( Combined)'!H10</f>
        <v>2019.5416799999998</v>
      </c>
      <c r="I11" s="19">
        <v>2154.5700000000002</v>
      </c>
      <c r="J11" s="18">
        <v>5.25</v>
      </c>
      <c r="K11" s="17">
        <f>10.41*10.764</f>
        <v>112.05323999999999</v>
      </c>
      <c r="L11" s="18">
        <v>0</v>
      </c>
      <c r="M11" s="17">
        <f>4.78*10.764</f>
        <v>51.451920000000001</v>
      </c>
      <c r="N11" s="17">
        <v>10.050000000000001</v>
      </c>
      <c r="O11" s="17">
        <f>1505/10.764</f>
        <v>139.81791155704201</v>
      </c>
      <c r="P11" s="18">
        <v>20.43</v>
      </c>
      <c r="Q11" s="17">
        <f t="shared" si="2"/>
        <v>748.96428726565557</v>
      </c>
      <c r="R11" s="18">
        <f>1725/10.764</f>
        <v>160.25641025641028</v>
      </c>
      <c r="S11" s="17">
        <f>'[2]AREAS-CLIENT VIEW ( Combined)'!Q11</f>
        <v>2799.5979914242057</v>
      </c>
      <c r="T11" s="18">
        <v>63.44</v>
      </c>
      <c r="U11" s="20">
        <f>'[2]AREAS-CLIENT VIEW ( Combined)'!T11</f>
        <v>832.66472514143254</v>
      </c>
      <c r="V11" s="21"/>
      <c r="W11" s="22">
        <v>1</v>
      </c>
      <c r="X11" s="23">
        <f>X9</f>
        <v>144.56052</v>
      </c>
      <c r="Y11" s="23">
        <f>Y9</f>
        <v>604.40376726565557</v>
      </c>
    </row>
    <row r="12" spans="1:25" ht="24.95" customHeight="1">
      <c r="A12" s="14">
        <f t="shared" si="1"/>
        <v>5</v>
      </c>
      <c r="B12" s="88"/>
      <c r="C12" s="15" t="s">
        <v>41</v>
      </c>
      <c r="D12" s="16" t="s">
        <v>42</v>
      </c>
      <c r="E12" s="16" t="s">
        <v>7</v>
      </c>
      <c r="F12" s="17">
        <f>F8</f>
        <v>2502.84528</v>
      </c>
      <c r="G12" s="18">
        <v>125.68</v>
      </c>
      <c r="H12" s="18" t="e">
        <f>'[2]AREAS-CLIENT VIEW ( Combined)'!H11</f>
        <v>#REF!</v>
      </c>
      <c r="I12" s="19">
        <v>2237.3000000000002</v>
      </c>
      <c r="J12" s="18">
        <v>5.25</v>
      </c>
      <c r="K12" s="17">
        <f>9.96*10.764</f>
        <v>107.20944</v>
      </c>
      <c r="L12" s="18">
        <v>0</v>
      </c>
      <c r="M12" s="17">
        <f>3.81*10.764</f>
        <v>41.010839999999995</v>
      </c>
      <c r="N12" s="17">
        <v>10.11</v>
      </c>
      <c r="O12" s="17">
        <v>141.04</v>
      </c>
      <c r="P12" s="18">
        <v>20.61</v>
      </c>
      <c r="Q12" s="17">
        <f t="shared" si="2"/>
        <v>793.3252276406065</v>
      </c>
      <c r="R12" s="18">
        <v>161.65</v>
      </c>
      <c r="S12" s="17">
        <f>'[2]AREAS-CLIENT VIEW ( Combined)'!Q13</f>
        <v>3288.741084921528</v>
      </c>
      <c r="T12" s="18">
        <v>63.99</v>
      </c>
      <c r="U12" s="20">
        <f>'[2]AREAS-CLIENT VIEW ( Combined)'!T13</f>
        <v>978.14711252326572</v>
      </c>
      <c r="V12" s="21"/>
      <c r="W12" s="22">
        <v>1</v>
      </c>
      <c r="X12" s="23">
        <f>X8</f>
        <v>162.21348</v>
      </c>
      <c r="Y12" s="23">
        <f>Y10</f>
        <v>631.1117476406065</v>
      </c>
    </row>
    <row r="13" spans="1:25" ht="24.95" customHeight="1">
      <c r="A13" s="14">
        <f t="shared" si="1"/>
        <v>6</v>
      </c>
      <c r="B13" s="88"/>
      <c r="C13" s="15" t="s">
        <v>41</v>
      </c>
      <c r="D13" s="16" t="s">
        <v>43</v>
      </c>
      <c r="E13" s="16" t="s">
        <v>7</v>
      </c>
      <c r="F13" s="17">
        <f>F9</f>
        <v>2396.9275199999997</v>
      </c>
      <c r="G13" s="18">
        <v>124.53</v>
      </c>
      <c r="H13" s="18" t="e">
        <f>'[2]AREAS-CLIENT VIEW ( Combined)'!H12</f>
        <v>#REF!</v>
      </c>
      <c r="I13" s="19">
        <v>2154.5700000000002</v>
      </c>
      <c r="J13" s="18">
        <v>5.25</v>
      </c>
      <c r="K13" s="17">
        <f>10.41*10.764</f>
        <v>112.05323999999999</v>
      </c>
      <c r="L13" s="18">
        <v>0</v>
      </c>
      <c r="M13" s="17">
        <f>4.78*10.764</f>
        <v>51.451920000000001</v>
      </c>
      <c r="N13" s="17">
        <v>10.050000000000001</v>
      </c>
      <c r="O13" s="17">
        <f>1505/10.764</f>
        <v>139.81791155704201</v>
      </c>
      <c r="P13" s="18">
        <v>20.43</v>
      </c>
      <c r="Q13" s="17">
        <f t="shared" si="2"/>
        <v>748.96428726565557</v>
      </c>
      <c r="R13" s="18">
        <f>1725/10.764</f>
        <v>160.25641025641028</v>
      </c>
      <c r="S13" s="17">
        <f>'[2]AREAS-CLIENT VIEW ( Combined)'!Q14</f>
        <v>2920.6064532569685</v>
      </c>
      <c r="T13" s="18">
        <v>63.44</v>
      </c>
      <c r="U13" s="20">
        <f>'[2]AREAS-CLIENT VIEW ( Combined)'!T14</f>
        <v>868.65542020565738</v>
      </c>
      <c r="V13" s="21"/>
      <c r="W13" s="22">
        <v>1</v>
      </c>
      <c r="X13" s="23">
        <f>X9</f>
        <v>144.56052</v>
      </c>
      <c r="Y13" s="23">
        <f>Y11</f>
        <v>604.40376726565557</v>
      </c>
    </row>
    <row r="14" spans="1:25" ht="24.95" customHeight="1">
      <c r="A14" s="14">
        <f t="shared" si="1"/>
        <v>7</v>
      </c>
      <c r="B14" s="88"/>
      <c r="C14" s="15" t="s">
        <v>44</v>
      </c>
      <c r="D14" s="16" t="s">
        <v>60</v>
      </c>
      <c r="E14" s="16" t="s">
        <v>7</v>
      </c>
      <c r="F14" s="17">
        <f>F8</f>
        <v>2502.84528</v>
      </c>
      <c r="G14" s="18">
        <v>125.68</v>
      </c>
      <c r="H14" s="18" t="e">
        <f>'[2]AREAS-CLIENT VIEW ( Combined)'!H13</f>
        <v>#REF!</v>
      </c>
      <c r="I14" s="19">
        <v>2237.3000000000002</v>
      </c>
      <c r="J14" s="18">
        <v>5.25</v>
      </c>
      <c r="K14" s="17">
        <f>9.96*10.764</f>
        <v>107.20944</v>
      </c>
      <c r="L14" s="18">
        <v>0</v>
      </c>
      <c r="M14" s="17">
        <f>3.81*10.764</f>
        <v>41.010839999999995</v>
      </c>
      <c r="N14" s="17">
        <v>10.11</v>
      </c>
      <c r="O14" s="17">
        <v>141.04</v>
      </c>
      <c r="P14" s="18">
        <v>20.61</v>
      </c>
      <c r="Q14" s="17">
        <f t="shared" ref="Q14:Q15" si="3">X14+Y14</f>
        <v>793.3252276406065</v>
      </c>
      <c r="R14" s="18">
        <v>161.65</v>
      </c>
      <c r="S14" s="17">
        <f>'[2]AREAS-CLIENT VIEW ( Combined)'!Q16</f>
        <v>6492.3728850206799</v>
      </c>
      <c r="T14" s="18">
        <v>63.99</v>
      </c>
      <c r="U14" s="20">
        <f>'[2]AREAS-CLIENT VIEW ( Combined)'!T16</f>
        <v>1930.9807695180261</v>
      </c>
      <c r="V14" s="21"/>
      <c r="W14" s="22">
        <v>1</v>
      </c>
      <c r="X14" s="23">
        <f>X8</f>
        <v>162.21348</v>
      </c>
      <c r="Y14" s="23">
        <f>Y12</f>
        <v>631.1117476406065</v>
      </c>
    </row>
    <row r="15" spans="1:25" ht="24.95" customHeight="1">
      <c r="A15" s="14">
        <f t="shared" si="1"/>
        <v>8</v>
      </c>
      <c r="B15" s="88"/>
      <c r="C15" s="15" t="s">
        <v>44</v>
      </c>
      <c r="D15" s="16" t="s">
        <v>61</v>
      </c>
      <c r="E15" s="16" t="s">
        <v>7</v>
      </c>
      <c r="F15" s="17"/>
      <c r="G15" s="18">
        <v>124.53</v>
      </c>
      <c r="H15" s="18" t="e">
        <f>'[2]AREAS-CLIENT VIEW ( Combined)'!H14</f>
        <v>#REF!</v>
      </c>
      <c r="I15" s="19">
        <v>2154.5700000000002</v>
      </c>
      <c r="J15" s="18">
        <v>5.25</v>
      </c>
      <c r="K15" s="17">
        <f>10.41*10.764</f>
        <v>112.05323999999999</v>
      </c>
      <c r="L15" s="18">
        <v>0</v>
      </c>
      <c r="M15" s="17">
        <f>4.78*10.764</f>
        <v>51.451920000000001</v>
      </c>
      <c r="N15" s="17">
        <v>10.050000000000001</v>
      </c>
      <c r="O15" s="17">
        <f>1505/10.764</f>
        <v>139.81791155704201</v>
      </c>
      <c r="P15" s="18">
        <v>20.43</v>
      </c>
      <c r="Q15" s="17">
        <f t="shared" si="3"/>
        <v>0</v>
      </c>
      <c r="R15" s="18">
        <f>1725/10.764</f>
        <v>160.25641025641028</v>
      </c>
      <c r="S15" s="17"/>
      <c r="T15" s="18">
        <v>63.44</v>
      </c>
      <c r="U15" s="20"/>
      <c r="V15" s="21"/>
      <c r="W15" s="22">
        <v>1</v>
      </c>
      <c r="X15" s="23"/>
      <c r="Y15" s="23"/>
    </row>
    <row r="16" spans="1:25" ht="24.95" customHeight="1">
      <c r="A16" s="14">
        <f t="shared" si="1"/>
        <v>9</v>
      </c>
      <c r="B16" s="88"/>
      <c r="C16" s="15" t="s">
        <v>45</v>
      </c>
      <c r="D16" s="16" t="s">
        <v>62</v>
      </c>
      <c r="E16" s="16" t="s">
        <v>36</v>
      </c>
      <c r="F16" s="17">
        <f>F8</f>
        <v>2502.84528</v>
      </c>
      <c r="G16" s="18">
        <v>237.56</v>
      </c>
      <c r="H16" s="18">
        <f>G16*10.769</f>
        <v>2558.2836400000001</v>
      </c>
      <c r="I16" s="19">
        <v>2237.3000000000002</v>
      </c>
      <c r="J16" s="18">
        <f>4.14+7.41</f>
        <v>11.55</v>
      </c>
      <c r="K16" s="18">
        <f>'[2]AREAS-CLIENT VIEW ( Combined)'!J18</f>
        <v>124.97003999999998</v>
      </c>
      <c r="L16" s="18">
        <v>0</v>
      </c>
      <c r="M16" s="18">
        <f>'[2]AREAS-CLIENT VIEW ( Combined)'!L18</f>
        <v>76.854959999999991</v>
      </c>
      <c r="N16" s="17">
        <v>19.36</v>
      </c>
      <c r="O16" s="17">
        <v>268.47000000000003</v>
      </c>
      <c r="P16" s="18">
        <v>39.22</v>
      </c>
      <c r="Q16" s="18">
        <f>'[2]AREAS-CLIENT VIEW ( Combined)'!N18</f>
        <v>152.69659163239044</v>
      </c>
      <c r="R16" s="18">
        <v>307.69</v>
      </c>
      <c r="S16" s="17">
        <f>'[2]AREAS-CLIENT VIEW ( Combined)'!Q18</f>
        <v>6335.3307923310504</v>
      </c>
      <c r="T16" s="18">
        <v>121.83</v>
      </c>
      <c r="U16" s="20">
        <f>'[2]AREAS-CLIENT VIEW ( Combined)'!T18</f>
        <v>1884.2728452568992</v>
      </c>
      <c r="V16" s="21"/>
      <c r="W16" s="22">
        <v>4</v>
      </c>
      <c r="X16" s="23">
        <f>X8</f>
        <v>162.21348</v>
      </c>
      <c r="Y16" s="23">
        <f>Y14</f>
        <v>631.1117476406065</v>
      </c>
    </row>
    <row r="17" spans="1:25" s="70" customFormat="1" ht="24.95" customHeight="1">
      <c r="A17" s="94"/>
      <c r="B17" s="95"/>
      <c r="C17" s="95"/>
      <c r="D17" s="96"/>
      <c r="E17" s="16"/>
      <c r="F17" s="17">
        <f>F10</f>
        <v>2502.84528</v>
      </c>
      <c r="G17" s="18">
        <f>SUM(G8:G16)</f>
        <v>1238.3999999999999</v>
      </c>
      <c r="H17" s="18" t="e">
        <f t="shared" ref="H17:Q17" si="4">H8+H9+H10+H11+H12+H13+H14+H15+H16</f>
        <v>#REF!</v>
      </c>
      <c r="I17" s="18">
        <f t="shared" si="4"/>
        <v>19804.78</v>
      </c>
      <c r="J17" s="18">
        <f>SUM(J8:J16)</f>
        <v>53.55</v>
      </c>
      <c r="K17" s="18">
        <f t="shared" si="4"/>
        <v>1002.0207599999999</v>
      </c>
      <c r="L17" s="18">
        <f t="shared" si="4"/>
        <v>0</v>
      </c>
      <c r="M17" s="18">
        <f t="shared" si="4"/>
        <v>446.70600000000002</v>
      </c>
      <c r="N17" s="18">
        <f>SUM(N8:N16)</f>
        <v>100</v>
      </c>
      <c r="O17" s="18">
        <f>SUM(O8:O16)</f>
        <v>1391.9137346711259</v>
      </c>
      <c r="P17" s="18">
        <f>SUM(P8:P16)</f>
        <v>203.38000000000002</v>
      </c>
      <c r="Q17" s="18">
        <f t="shared" si="4"/>
        <v>5572.8903639917835</v>
      </c>
      <c r="R17" s="18">
        <f>SUM(R8:R16)</f>
        <v>1595.3156410256411</v>
      </c>
      <c r="S17" s="18">
        <f t="shared" ref="S17" si="5">S8+S9+S10+S11+S12+S13+S14+S15+S16</f>
        <v>31611.174938419077</v>
      </c>
      <c r="T17" s="18">
        <f>SUM(T8:T16)</f>
        <v>631.55000000000007</v>
      </c>
      <c r="U17" s="20" t="e">
        <f>'[2]AREAS-CLIENT VIEW ( Combined)'!T20</f>
        <v>#REF!</v>
      </c>
      <c r="V17" s="21"/>
      <c r="W17" s="22"/>
      <c r="X17" s="23">
        <f>X10</f>
        <v>162.21348</v>
      </c>
      <c r="Y17" s="23">
        <f>Y16</f>
        <v>631.1117476406065</v>
      </c>
    </row>
    <row r="18" spans="1:25" ht="24.95" customHeight="1">
      <c r="A18" s="24"/>
      <c r="B18" s="24"/>
      <c r="C18" s="25"/>
      <c r="D18" s="24"/>
      <c r="E18" s="24"/>
      <c r="F18" s="26"/>
      <c r="G18" s="26"/>
      <c r="H18" s="27"/>
      <c r="I18" s="28"/>
      <c r="J18" s="28"/>
      <c r="K18" s="27"/>
      <c r="L18" s="27"/>
      <c r="M18" s="27"/>
      <c r="N18" s="27"/>
      <c r="O18" s="27"/>
      <c r="P18" s="27"/>
      <c r="Q18" s="27"/>
      <c r="R18" s="27"/>
      <c r="S18" s="29"/>
      <c r="T18" s="75" t="s">
        <v>65</v>
      </c>
      <c r="U18" s="72"/>
      <c r="V18" s="71">
        <v>1</v>
      </c>
      <c r="W18" s="22"/>
      <c r="X18" s="30"/>
      <c r="Y18" s="31"/>
    </row>
    <row r="19" spans="1:25" ht="24.95" customHeight="1">
      <c r="A19" s="89"/>
      <c r="B19" s="90"/>
      <c r="C19" s="90"/>
      <c r="D19" s="90"/>
      <c r="E19" s="90"/>
      <c r="F19" s="69">
        <f>SUM(F8:F16)</f>
        <v>19705.008959999999</v>
      </c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32">
        <f>SUM(S8:S16)</f>
        <v>31611.174938419077</v>
      </c>
      <c r="T19" s="76" t="s">
        <v>64</v>
      </c>
      <c r="U19" s="73">
        <f>SUM(U8:U16)</f>
        <v>9401.889261288632</v>
      </c>
      <c r="V19" s="77">
        <f>SUM(V8:V18)</f>
        <v>1</v>
      </c>
      <c r="W19" s="74">
        <f>SUM(W8:W18)</f>
        <v>12</v>
      </c>
      <c r="X19" s="33"/>
      <c r="Y19" s="34">
        <f>SUM(Y8:Y16)</f>
        <v>4968.7700399999985</v>
      </c>
    </row>
    <row r="20" spans="1:25" ht="31.5" hidden="1" customHeight="1">
      <c r="A20" s="35"/>
      <c r="B20" s="36"/>
      <c r="C20" s="35"/>
      <c r="D20" s="35"/>
      <c r="E20" s="35"/>
      <c r="F20" s="37"/>
      <c r="G20" s="37"/>
      <c r="H20" s="35"/>
      <c r="I20" s="35"/>
      <c r="J20" s="35"/>
      <c r="K20" s="35"/>
      <c r="L20" s="35"/>
      <c r="M20" s="38"/>
      <c r="N20" s="38"/>
      <c r="O20" s="38"/>
      <c r="P20" s="38"/>
      <c r="Q20" s="39"/>
      <c r="R20" s="39"/>
      <c r="S20" s="40"/>
      <c r="T20" s="43">
        <f>SUM(T8:T19)</f>
        <v>1263.1000000000001</v>
      </c>
      <c r="U20" s="59"/>
      <c r="V20" s="59"/>
      <c r="W20" s="41"/>
      <c r="X20" s="35"/>
      <c r="Y20" s="35"/>
    </row>
    <row r="21" spans="1:25" ht="55.5" hidden="1" customHeight="1">
      <c r="A21" s="91" t="s">
        <v>46</v>
      </c>
      <c r="B21" s="92"/>
      <c r="C21" s="92"/>
      <c r="D21" s="41"/>
      <c r="E21" s="41"/>
      <c r="F21" s="42"/>
      <c r="G21" s="42"/>
      <c r="H21" s="42"/>
      <c r="I21" s="42"/>
      <c r="J21" s="42"/>
      <c r="K21" s="43"/>
      <c r="L21" s="43"/>
      <c r="M21" s="44" t="s">
        <v>47</v>
      </c>
      <c r="N21" s="44"/>
      <c r="O21" s="44"/>
      <c r="P21" s="44"/>
      <c r="Q21" s="44" t="s">
        <v>48</v>
      </c>
      <c r="R21" s="44"/>
      <c r="S21" s="43"/>
      <c r="T21" s="42"/>
      <c r="U21" s="42"/>
      <c r="V21" s="45"/>
      <c r="W21" s="41"/>
      <c r="X21" s="41"/>
      <c r="Y21" s="43"/>
    </row>
    <row r="22" spans="1:25" ht="24.95" hidden="1" customHeight="1">
      <c r="A22" s="46">
        <v>1</v>
      </c>
      <c r="B22" s="47" t="s">
        <v>49</v>
      </c>
      <c r="C22" s="48">
        <f>SUM('[1]SALEABLE AREAS'!C22:C26)</f>
        <v>1898.7696000000001</v>
      </c>
      <c r="D22" s="42"/>
      <c r="E22" s="41"/>
      <c r="F22" s="42"/>
      <c r="G22" s="42"/>
      <c r="H22" s="43"/>
      <c r="I22" s="42"/>
      <c r="J22" s="42"/>
      <c r="K22" s="49" t="s">
        <v>50</v>
      </c>
      <c r="L22" s="49"/>
      <c r="M22" s="50" t="e">
        <f>#REF!*6</f>
        <v>#REF!</v>
      </c>
      <c r="N22" s="50"/>
      <c r="O22" s="50"/>
      <c r="P22" s="50"/>
      <c r="Q22" s="50">
        <f>S8*6</f>
        <v>20506.093942179967</v>
      </c>
      <c r="R22" s="50"/>
      <c r="S22" s="42"/>
      <c r="T22" s="42"/>
      <c r="U22" s="42"/>
      <c r="V22" s="45"/>
      <c r="W22" s="41"/>
      <c r="X22" s="41"/>
      <c r="Y22" s="45"/>
    </row>
    <row r="23" spans="1:25" ht="24.95" hidden="1" customHeight="1">
      <c r="A23" s="46">
        <v>2</v>
      </c>
      <c r="B23" s="47" t="s">
        <v>51</v>
      </c>
      <c r="C23" s="48">
        <f>'[1]SALEABLE AREAS'!C30</f>
        <v>959.61059999999998</v>
      </c>
      <c r="D23" s="42"/>
      <c r="E23" s="41"/>
      <c r="F23" s="42"/>
      <c r="G23" s="42"/>
      <c r="H23" s="43"/>
      <c r="I23" s="42"/>
      <c r="J23" s="42"/>
      <c r="K23" s="49" t="s">
        <v>52</v>
      </c>
      <c r="L23" s="49"/>
      <c r="M23" s="50" t="e">
        <f>#REF!*6</f>
        <v>#REF!</v>
      </c>
      <c r="N23" s="50"/>
      <c r="O23" s="50"/>
      <c r="P23" s="50"/>
      <c r="Q23" s="50" t="e">
        <f>#REF!*6</f>
        <v>#REF!</v>
      </c>
      <c r="R23" s="50"/>
      <c r="S23" s="42"/>
      <c r="T23" s="42"/>
      <c r="U23" s="42"/>
      <c r="V23" s="45"/>
      <c r="W23" s="41"/>
      <c r="X23" s="41"/>
      <c r="Y23" s="45"/>
    </row>
    <row r="24" spans="1:25" ht="24.95" hidden="1" customHeight="1">
      <c r="A24" s="46">
        <v>3</v>
      </c>
      <c r="B24" s="47" t="s">
        <v>53</v>
      </c>
      <c r="C24" s="48">
        <f>'[1]SALEABLE AREAS'!C28</f>
        <v>717.85115999999994</v>
      </c>
      <c r="D24" s="42"/>
      <c r="E24" s="41"/>
      <c r="F24" s="42"/>
      <c r="G24" s="42"/>
      <c r="H24" s="42"/>
      <c r="I24" s="42"/>
      <c r="J24" s="42"/>
      <c r="K24" s="51" t="s">
        <v>54</v>
      </c>
      <c r="L24" s="51"/>
      <c r="M24" s="50" t="e">
        <f>#REF!*11</f>
        <v>#REF!</v>
      </c>
      <c r="N24" s="50"/>
      <c r="O24" s="50"/>
      <c r="P24" s="50"/>
      <c r="Q24" s="50">
        <f>S9*11</f>
        <v>30785.224959487234</v>
      </c>
      <c r="R24" s="50"/>
      <c r="S24" s="52"/>
      <c r="T24" s="43"/>
      <c r="U24" s="43"/>
      <c r="V24" s="45"/>
      <c r="W24" s="41"/>
      <c r="X24" s="41"/>
      <c r="Y24" s="45"/>
    </row>
    <row r="25" spans="1:25" ht="24.95" hidden="1" customHeight="1">
      <c r="A25" s="46">
        <v>4</v>
      </c>
      <c r="B25" s="47" t="s">
        <v>55</v>
      </c>
      <c r="C25" s="48">
        <f>'[1]SALEABLE AREAS'!C29</f>
        <v>269.09999999999997</v>
      </c>
      <c r="D25" s="42"/>
      <c r="E25" s="41"/>
      <c r="F25" s="42"/>
      <c r="G25" s="42"/>
      <c r="H25" s="43"/>
      <c r="I25" s="42"/>
      <c r="J25" s="42"/>
      <c r="K25" s="43"/>
      <c r="L25" s="43"/>
      <c r="M25" s="53" t="s">
        <v>56</v>
      </c>
      <c r="N25" s="53"/>
      <c r="O25" s="53"/>
      <c r="P25" s="53"/>
      <c r="Q25" s="54" t="e">
        <f>SUM(Q22:Q24)</f>
        <v>#REF!</v>
      </c>
      <c r="R25" s="54"/>
      <c r="S25" s="52"/>
      <c r="T25" s="43"/>
      <c r="U25" s="43"/>
      <c r="V25" s="45"/>
      <c r="W25" s="41"/>
      <c r="X25" s="41"/>
      <c r="Y25" s="45"/>
    </row>
    <row r="26" spans="1:25" ht="24.95" hidden="1" customHeight="1">
      <c r="A26" s="46">
        <v>5</v>
      </c>
      <c r="B26" s="47" t="s">
        <v>57</v>
      </c>
      <c r="C26" s="48">
        <f>'[1]SALEABLE AREAS'!C27</f>
        <v>348.00011999999998</v>
      </c>
      <c r="D26" s="41"/>
      <c r="E26" s="55"/>
      <c r="F26" s="55"/>
      <c r="G26" s="55"/>
      <c r="H26" s="42"/>
      <c r="I26" s="42"/>
      <c r="J26" s="42"/>
      <c r="K26" s="43"/>
      <c r="L26" s="43"/>
      <c r="M26" s="56"/>
      <c r="N26" s="56"/>
      <c r="O26" s="56"/>
      <c r="P26" s="56"/>
      <c r="Q26" s="42"/>
      <c r="R26" s="42"/>
      <c r="S26" s="42"/>
      <c r="T26" s="42"/>
      <c r="U26" s="57"/>
      <c r="V26" s="45"/>
      <c r="W26" s="41"/>
      <c r="X26" s="41"/>
      <c r="Y26" s="45"/>
    </row>
    <row r="27" spans="1:25" ht="24.95" hidden="1" customHeight="1">
      <c r="A27" s="46">
        <v>6</v>
      </c>
      <c r="B27" s="47" t="s">
        <v>58</v>
      </c>
      <c r="C27" s="48">
        <f>'[1]SALEABLE AREAS'!C31</f>
        <v>202.36320000000001</v>
      </c>
      <c r="D27" s="41"/>
      <c r="E27" s="55"/>
      <c r="F27" s="55"/>
      <c r="G27" s="55"/>
      <c r="H27" s="42"/>
      <c r="I27" s="42"/>
      <c r="J27" s="42"/>
      <c r="K27" s="43"/>
      <c r="L27" s="43"/>
      <c r="M27" s="56"/>
      <c r="N27" s="56"/>
      <c r="O27" s="56"/>
      <c r="P27" s="56"/>
      <c r="Q27" s="42"/>
      <c r="R27" s="42"/>
      <c r="S27" s="42"/>
      <c r="T27" s="42"/>
      <c r="U27" s="57"/>
      <c r="V27" s="45"/>
      <c r="W27" s="41"/>
      <c r="X27" s="41"/>
      <c r="Y27" s="45"/>
    </row>
    <row r="28" spans="1:25" ht="24.95" hidden="1" customHeight="1">
      <c r="A28" s="46">
        <v>7</v>
      </c>
      <c r="B28" s="47" t="str">
        <f>'[1]SALEABLE AREAS'!A32</f>
        <v>shaft</v>
      </c>
      <c r="C28" s="48">
        <f>'[1]SALEABLE AREAS'!C32</f>
        <v>573.07535999999993</v>
      </c>
      <c r="D28" s="41"/>
      <c r="E28" s="41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3"/>
      <c r="V28" s="45"/>
      <c r="W28" s="41"/>
      <c r="X28" s="41"/>
      <c r="Y28" s="45"/>
    </row>
    <row r="29" spans="1:25" ht="24.95" hidden="1" customHeight="1">
      <c r="A29" s="93" t="s">
        <v>59</v>
      </c>
      <c r="B29" s="92"/>
      <c r="C29" s="58">
        <f>SUM(C22:C28)</f>
        <v>4968.7700399999994</v>
      </c>
      <c r="D29" s="41"/>
      <c r="E29" s="41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3"/>
      <c r="V29" s="45"/>
      <c r="W29" s="41"/>
      <c r="X29" s="41"/>
      <c r="Y29" s="45"/>
    </row>
    <row r="30" spans="1:25" ht="24.95" hidden="1" customHeight="1">
      <c r="A30" s="59"/>
      <c r="B30" s="60"/>
      <c r="C30" s="61"/>
      <c r="D30" s="41"/>
      <c r="E30" s="41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3"/>
      <c r="V30" s="45"/>
      <c r="W30" s="41"/>
      <c r="X30" s="41"/>
      <c r="Y30" s="45"/>
    </row>
    <row r="31" spans="1:25" ht="24.95" hidden="1" customHeight="1">
      <c r="A31" s="42"/>
      <c r="B31" s="62"/>
      <c r="C31" s="63">
        <f>C29/F19</f>
        <v>0.2521577153345278</v>
      </c>
      <c r="D31" s="41"/>
      <c r="E31" s="41"/>
      <c r="F31" s="42"/>
      <c r="G31" s="42"/>
      <c r="H31" s="42"/>
      <c r="I31" s="45"/>
      <c r="J31" s="45"/>
      <c r="K31" s="41"/>
      <c r="L31" s="41"/>
      <c r="M31" s="41"/>
      <c r="N31" s="41"/>
      <c r="O31" s="41"/>
      <c r="P31" s="41"/>
      <c r="Q31" s="45"/>
      <c r="R31" s="45"/>
      <c r="S31" s="42"/>
      <c r="T31" s="42"/>
      <c r="U31" s="42"/>
      <c r="V31" s="45"/>
      <c r="W31" s="41"/>
      <c r="X31" s="41"/>
      <c r="Y31" s="45"/>
    </row>
    <row r="32" spans="1:25" ht="15.75" hidden="1" customHeight="1">
      <c r="A32" s="64"/>
      <c r="B32" s="64"/>
      <c r="C32" s="65"/>
      <c r="D32" s="64"/>
      <c r="E32" s="64"/>
      <c r="F32" s="66"/>
      <c r="G32" s="66"/>
      <c r="H32" s="67"/>
      <c r="I32" s="65"/>
      <c r="J32" s="65"/>
      <c r="K32" s="64"/>
      <c r="L32" s="64"/>
      <c r="M32" s="64"/>
      <c r="N32" s="64"/>
      <c r="O32" s="64"/>
      <c r="P32" s="64"/>
      <c r="Q32" s="65"/>
      <c r="R32" s="65"/>
      <c r="S32" s="66"/>
      <c r="T32" s="66"/>
      <c r="U32" s="66"/>
      <c r="V32" s="65"/>
      <c r="W32" s="64"/>
      <c r="X32" s="64"/>
      <c r="Y32" s="65"/>
    </row>
    <row r="33" spans="1:25" ht="15.75" hidden="1" customHeight="1">
      <c r="A33" s="64"/>
      <c r="B33" s="64"/>
      <c r="C33" s="65"/>
      <c r="D33" s="68"/>
      <c r="E33" s="68"/>
      <c r="F33" s="67"/>
      <c r="G33" s="67"/>
      <c r="H33" s="66"/>
      <c r="I33" s="65"/>
      <c r="J33" s="65"/>
      <c r="K33" s="64"/>
      <c r="L33" s="64"/>
      <c r="M33" s="64"/>
      <c r="N33" s="64"/>
      <c r="O33" s="64"/>
      <c r="P33" s="64"/>
      <c r="Q33" s="65"/>
      <c r="R33" s="65"/>
      <c r="S33" s="65"/>
      <c r="T33" s="65"/>
      <c r="U33" s="65"/>
      <c r="V33" s="65"/>
      <c r="W33" s="64"/>
      <c r="X33" s="64"/>
      <c r="Y33" s="65"/>
    </row>
    <row r="34" spans="1:25" ht="15.75" hidden="1" customHeight="1">
      <c r="A34" s="64"/>
      <c r="B34" s="64"/>
      <c r="C34" s="65"/>
      <c r="D34" s="64"/>
      <c r="E34" s="64"/>
      <c r="F34" s="66"/>
      <c r="G34" s="66"/>
      <c r="H34" s="66"/>
      <c r="I34" s="65"/>
      <c r="J34" s="65"/>
      <c r="K34" s="64"/>
      <c r="L34" s="64"/>
      <c r="M34" s="64"/>
      <c r="N34" s="64"/>
      <c r="O34" s="64"/>
      <c r="P34" s="64"/>
      <c r="Q34" s="65"/>
      <c r="R34" s="65"/>
      <c r="S34" s="65"/>
      <c r="T34" s="65"/>
      <c r="U34" s="65"/>
      <c r="V34" s="65"/>
      <c r="W34" s="64"/>
      <c r="X34" s="64"/>
      <c r="Y34" s="65"/>
    </row>
    <row r="35" spans="1:25" ht="15.4" hidden="1" customHeight="1"/>
    <row r="37" spans="1:25" ht="15.4" customHeight="1">
      <c r="R37" s="78">
        <f>631.55/R17</f>
        <v>0.39587777099331356</v>
      </c>
    </row>
    <row r="39" spans="1:25" ht="15.4" customHeight="1">
      <c r="A39" s="3" t="s">
        <v>67</v>
      </c>
      <c r="B39" s="83" t="s">
        <v>66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</row>
    <row r="40" spans="1:25" ht="15.4" customHeight="1"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</row>
    <row r="41" spans="1:25" ht="15.4" customHeight="1"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</row>
    <row r="42" spans="1:25" ht="15.4" customHeight="1"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</row>
    <row r="43" spans="1:25" ht="15.4" customHeight="1"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</row>
    <row r="44" spans="1:25" ht="15.4" customHeight="1"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</row>
    <row r="45" spans="1:25" ht="15.4" customHeight="1"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</row>
    <row r="46" spans="1:25" ht="15.4" customHeight="1"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</row>
  </sheetData>
  <mergeCells count="32">
    <mergeCell ref="X4:Y4"/>
    <mergeCell ref="A5:A6"/>
    <mergeCell ref="B5:B6"/>
    <mergeCell ref="C5:C6"/>
    <mergeCell ref="D5:D6"/>
    <mergeCell ref="E5:E6"/>
    <mergeCell ref="F5:F6"/>
    <mergeCell ref="G5:G6"/>
    <mergeCell ref="J5:J6"/>
    <mergeCell ref="K5:K6"/>
    <mergeCell ref="L5:L6"/>
    <mergeCell ref="M5:M6"/>
    <mergeCell ref="Y5:Y6"/>
    <mergeCell ref="I5:I6"/>
    <mergeCell ref="X5:X6"/>
    <mergeCell ref="R5:R6"/>
    <mergeCell ref="A1:W1"/>
    <mergeCell ref="A2:W2"/>
    <mergeCell ref="A4:W4"/>
    <mergeCell ref="A3:W3"/>
    <mergeCell ref="B39:T46"/>
    <mergeCell ref="S5:S6"/>
    <mergeCell ref="T5:T6"/>
    <mergeCell ref="U5:U6"/>
    <mergeCell ref="V5:W5"/>
    <mergeCell ref="H5:H6"/>
    <mergeCell ref="B8:B16"/>
    <mergeCell ref="A19:E19"/>
    <mergeCell ref="A21:C21"/>
    <mergeCell ref="A29:B29"/>
    <mergeCell ref="Q5:Q6"/>
    <mergeCell ref="A17:D17"/>
  </mergeCells>
  <phoneticPr fontId="10" type="noConversion"/>
  <conditionalFormatting sqref="H18 K18:R18 F19:R19 M26:P27">
    <cfRule type="cellIs" dxfId="1" priority="2" stopIfTrue="1" operator="lessThan">
      <formula>0</formula>
    </cfRule>
  </conditionalFormatting>
  <conditionalFormatting sqref="T19">
    <cfRule type="cellIs" dxfId="0" priority="1" stopIfTrue="1" operator="lessThan">
      <formula>0</formula>
    </cfRule>
  </conditionalFormatting>
  <pageMargins left="0.23622047244094491" right="0.23622047244094491" top="0.47244094488188981" bottom="0.47244094488188981" header="0" footer="0"/>
  <pageSetup paperSize="8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RERA CALCULATION</vt:lpstr>
      <vt:lpstr>'RERA CALCULATION'!Print_Area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Sathish Kanagaguru</dc:creator>
  <cp:lastModifiedBy>Haran</cp:lastModifiedBy>
  <cp:lastPrinted>2026-01-28T05:23:13Z</cp:lastPrinted>
  <dcterms:created xsi:type="dcterms:W3CDTF">2022-08-16T13:40:00Z</dcterms:created>
  <dcterms:modified xsi:type="dcterms:W3CDTF">2026-01-28T05:48:58Z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BC57114B747C44FD91268390030E9807_13</vt:lpwstr>
  </property>
  <property fmtid="{D5CDD505-2E9C-101B-9397-08002B2CF9AE}" pid="3" name="KSOProductBuildVer">
    <vt:lpwstr>1033-12.2.0.23155</vt:lpwstr>
  </property>
  <property fmtid="{D5CDD505-2E9C-101B-9397-08002B2CF9AE}" pid="4" name="KSOReadingLayout">
    <vt:bool>false</vt:bool>
  </property>
</Properties>
</file>