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vsemerald-my.sharepoint.com/personal/salman_tvsemerald_com/Documents/169/final area/"/>
    </mc:Choice>
  </mc:AlternateContent>
  <xr:revisionPtr revIDLastSave="354" documentId="8_{1BCE3886-6F89-450F-A612-30A5CCD6E936}" xr6:coauthVersionLast="47" xr6:coauthVersionMax="47" xr10:uidLastSave="{B841AA41-4E00-4D8D-A4AD-B2E7B3506206}"/>
  <bookViews>
    <workbookView xWindow="38280" yWindow="3915" windowWidth="24240" windowHeight="13020" tabRatio="786" firstSheet="1" activeTab="1" xr2:uid="{00000000-000D-0000-FFFF-FFFF00000000}"/>
  </bookViews>
  <sheets>
    <sheet name="Comparison statement" sheetId="17" state="hidden" r:id="rId1"/>
    <sheet name="RERA" sheetId="23" r:id="rId2"/>
    <sheet name="CO-EFFICIENT CALCULATION" sheetId="21" state="hidden" r:id="rId3"/>
    <sheet name="RERA STATEMENT" sheetId="18" state="hidden" r:id="rId4"/>
    <sheet name="STILT" sheetId="9" state="hidden" r:id="rId5"/>
    <sheet name="COMMON AREA" sheetId="13" state="hidden" r:id="rId6"/>
    <sheet name="DETAILED UNIT AREA TABULATION" sheetId="15" state="hidden" r:id="rId7"/>
    <sheet name="Total consolidated" sheetId="22" state="hidden" r:id="rId8"/>
    <sheet name="SUMMARY" sheetId="16" state="hidden" r:id="rId9"/>
  </sheets>
  <externalReferences>
    <externalReference r:id="rId10"/>
    <externalReference r:id="rId11"/>
  </externalReferences>
  <definedNames>
    <definedName name="_xlnm._FilterDatabase" localSheetId="6" hidden="1">'DETAILED UNIT AREA TABULATION'!$A$16:$Z$44</definedName>
    <definedName name="_xlnm._FilterDatabase" localSheetId="1" hidden="1">RERA!$A$56:$AR$142</definedName>
    <definedName name="_xlnm._FilterDatabase" localSheetId="8" hidden="1">SUMMARY!$B$3:$N$8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4" i="23" l="1"/>
  <c r="H153" i="23"/>
  <c r="H70" i="23" l="1"/>
  <c r="L67" i="23" l="1"/>
  <c r="L68" i="23"/>
  <c r="L69" i="23"/>
  <c r="L70" i="23"/>
  <c r="L71" i="23"/>
  <c r="L72" i="23"/>
  <c r="L73" i="23"/>
  <c r="L74" i="23"/>
  <c r="L75" i="23"/>
  <c r="L76" i="23"/>
  <c r="L77" i="23"/>
  <c r="L78" i="23"/>
  <c r="L79" i="23"/>
  <c r="L80" i="23"/>
  <c r="L81" i="23"/>
  <c r="L82" i="23"/>
  <c r="L83" i="23"/>
  <c r="L84" i="23"/>
  <c r="L85" i="23"/>
  <c r="L86" i="23"/>
  <c r="L87" i="23"/>
  <c r="L88" i="23"/>
  <c r="L89" i="23"/>
  <c r="L90" i="23"/>
  <c r="L91" i="23"/>
  <c r="L92" i="23"/>
  <c r="L93" i="23"/>
  <c r="L94" i="23"/>
  <c r="L95" i="23"/>
  <c r="L96" i="23"/>
  <c r="L97" i="23"/>
  <c r="L98" i="23"/>
  <c r="L99" i="23"/>
  <c r="L100" i="23"/>
  <c r="L101" i="23"/>
  <c r="L102" i="23"/>
  <c r="L103" i="23"/>
  <c r="L104" i="23"/>
  <c r="L105" i="23"/>
  <c r="L106" i="23"/>
  <c r="L107" i="23"/>
  <c r="L108" i="23"/>
  <c r="L109" i="23"/>
  <c r="L110" i="23"/>
  <c r="L111" i="23"/>
  <c r="L112" i="23"/>
  <c r="L113" i="23"/>
  <c r="L114" i="23"/>
  <c r="L115" i="23"/>
  <c r="L116" i="23"/>
  <c r="L117" i="23"/>
  <c r="L118" i="23"/>
  <c r="L119" i="23"/>
  <c r="L120" i="23"/>
  <c r="L121" i="23"/>
  <c r="L122" i="23"/>
  <c r="L123" i="23"/>
  <c r="L124" i="23"/>
  <c r="L125" i="23"/>
  <c r="L126" i="23"/>
  <c r="L127" i="23"/>
  <c r="L128" i="23"/>
  <c r="L129" i="23"/>
  <c r="L130" i="23"/>
  <c r="L131" i="23"/>
  <c r="L132" i="23"/>
  <c r="L133" i="23"/>
  <c r="L134" i="23"/>
  <c r="L135" i="23"/>
  <c r="L136" i="23"/>
  <c r="L137" i="23"/>
  <c r="L138" i="23"/>
  <c r="L139" i="23"/>
  <c r="L140" i="23"/>
  <c r="L141" i="23"/>
  <c r="L58" i="23"/>
  <c r="L59" i="23"/>
  <c r="L60" i="23"/>
  <c r="L61" i="23"/>
  <c r="L62" i="23"/>
  <c r="L63" i="23"/>
  <c r="L64" i="23"/>
  <c r="L65" i="23"/>
  <c r="L66" i="23"/>
  <c r="L57" i="23"/>
  <c r="L15" i="23"/>
  <c r="L16" i="23"/>
  <c r="L17" i="23"/>
  <c r="L18" i="23"/>
  <c r="L19" i="23"/>
  <c r="L2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L41" i="23"/>
  <c r="L42" i="23"/>
  <c r="L43" i="23"/>
  <c r="L44" i="23"/>
  <c r="L45" i="23"/>
  <c r="L46" i="23"/>
  <c r="L47" i="23"/>
  <c r="L48" i="23"/>
  <c r="L49" i="23"/>
  <c r="L50" i="23"/>
  <c r="L51" i="23"/>
  <c r="L52" i="23"/>
  <c r="L53" i="23"/>
  <c r="L54" i="23"/>
  <c r="L6" i="23"/>
  <c r="L7" i="23"/>
  <c r="L8" i="23"/>
  <c r="L9" i="23"/>
  <c r="L10" i="23"/>
  <c r="L11" i="23"/>
  <c r="L12" i="23"/>
  <c r="L13" i="23"/>
  <c r="L14" i="23"/>
  <c r="L5" i="23"/>
  <c r="G15" i="23"/>
  <c r="G25" i="23" s="1"/>
  <c r="G35" i="23" s="1"/>
  <c r="G45" i="23" s="1"/>
  <c r="G16" i="23"/>
  <c r="G26" i="23" s="1"/>
  <c r="G36" i="23" s="1"/>
  <c r="G46" i="23" s="1"/>
  <c r="G17" i="23"/>
  <c r="G27" i="23" s="1"/>
  <c r="G37" i="23" s="1"/>
  <c r="G47" i="23" s="1"/>
  <c r="G18" i="23"/>
  <c r="G28" i="23" s="1"/>
  <c r="G38" i="23" s="1"/>
  <c r="G48" i="23" s="1"/>
  <c r="G19" i="23"/>
  <c r="G29" i="23" s="1"/>
  <c r="G39" i="23" s="1"/>
  <c r="G49" i="23" s="1"/>
  <c r="G20" i="23"/>
  <c r="G30" i="23" s="1"/>
  <c r="G40" i="23" s="1"/>
  <c r="G50" i="23" s="1"/>
  <c r="G21" i="23"/>
  <c r="G31" i="23" s="1"/>
  <c r="G41" i="23" s="1"/>
  <c r="G51" i="23" s="1"/>
  <c r="G22" i="23"/>
  <c r="G32" i="23" s="1"/>
  <c r="G42" i="23" s="1"/>
  <c r="G52" i="23" s="1"/>
  <c r="H22" i="23"/>
  <c r="H32" i="23" s="1"/>
  <c r="H42" i="23" s="1"/>
  <c r="H52" i="23" s="1"/>
  <c r="G23" i="23"/>
  <c r="G33" i="23" s="1"/>
  <c r="G43" i="23" s="1"/>
  <c r="G53" i="23" s="1"/>
  <c r="G24" i="23"/>
  <c r="G34" i="23" s="1"/>
  <c r="G44" i="23" s="1"/>
  <c r="G54" i="23" s="1"/>
  <c r="L142" i="23" l="1"/>
  <c r="L148" i="23" s="1"/>
  <c r="L55" i="23"/>
  <c r="L147" i="23" s="1"/>
  <c r="H87" i="23"/>
  <c r="H104" i="23" s="1"/>
  <c r="H121" i="23" s="1"/>
  <c r="H138" i="23" s="1"/>
  <c r="G75" i="23"/>
  <c r="G92" i="23" s="1"/>
  <c r="G109" i="23" s="1"/>
  <c r="G126" i="23" s="1"/>
  <c r="G76" i="23"/>
  <c r="G93" i="23" s="1"/>
  <c r="G110" i="23" s="1"/>
  <c r="G127" i="23" s="1"/>
  <c r="G77" i="23"/>
  <c r="G94" i="23" s="1"/>
  <c r="G111" i="23" s="1"/>
  <c r="G128" i="23" s="1"/>
  <c r="G78" i="23"/>
  <c r="G95" i="23" s="1"/>
  <c r="G112" i="23" s="1"/>
  <c r="G129" i="23" s="1"/>
  <c r="G79" i="23"/>
  <c r="G96" i="23" s="1"/>
  <c r="G113" i="23" s="1"/>
  <c r="G130" i="23" s="1"/>
  <c r="G80" i="23"/>
  <c r="G97" i="23" s="1"/>
  <c r="G114" i="23" s="1"/>
  <c r="G131" i="23" s="1"/>
  <c r="G81" i="23"/>
  <c r="G98" i="23" s="1"/>
  <c r="G115" i="23" s="1"/>
  <c r="G132" i="23" s="1"/>
  <c r="G82" i="23"/>
  <c r="G99" i="23" s="1"/>
  <c r="G116" i="23" s="1"/>
  <c r="G133" i="23" s="1"/>
  <c r="G83" i="23"/>
  <c r="G100" i="23" s="1"/>
  <c r="G117" i="23" s="1"/>
  <c r="G134" i="23" s="1"/>
  <c r="G84" i="23"/>
  <c r="G101" i="23" s="1"/>
  <c r="G118" i="23" s="1"/>
  <c r="G135" i="23" s="1"/>
  <c r="G85" i="23"/>
  <c r="G102" i="23" s="1"/>
  <c r="G119" i="23" s="1"/>
  <c r="G136" i="23" s="1"/>
  <c r="G86" i="23"/>
  <c r="G103" i="23" s="1"/>
  <c r="G120" i="23" s="1"/>
  <c r="G137" i="23" s="1"/>
  <c r="G87" i="23"/>
  <c r="G104" i="23" s="1"/>
  <c r="G121" i="23" s="1"/>
  <c r="G138" i="23" s="1"/>
  <c r="G88" i="23"/>
  <c r="G105" i="23" s="1"/>
  <c r="G122" i="23" s="1"/>
  <c r="G139" i="23" s="1"/>
  <c r="G89" i="23"/>
  <c r="G106" i="23" s="1"/>
  <c r="G123" i="23" s="1"/>
  <c r="G140" i="23" s="1"/>
  <c r="G90" i="23"/>
  <c r="G107" i="23" s="1"/>
  <c r="G124" i="23" s="1"/>
  <c r="G141" i="23" s="1"/>
  <c r="G74" i="23"/>
  <c r="G91" i="23" s="1"/>
  <c r="G108" i="23" s="1"/>
  <c r="G125" i="23" s="1"/>
  <c r="K73" i="23"/>
  <c r="K90" i="23" s="1"/>
  <c r="K107" i="23" s="1"/>
  <c r="K124" i="23" s="1"/>
  <c r="K141" i="23" s="1"/>
  <c r="K72" i="23"/>
  <c r="K89" i="23" s="1"/>
  <c r="K106" i="23" s="1"/>
  <c r="K123" i="23" s="1"/>
  <c r="K140" i="23" s="1"/>
  <c r="K71" i="23"/>
  <c r="K88" i="23" s="1"/>
  <c r="K105" i="23" s="1"/>
  <c r="K122" i="23" s="1"/>
  <c r="K139" i="23" s="1"/>
  <c r="K70" i="23"/>
  <c r="K87" i="23" s="1"/>
  <c r="K104" i="23" s="1"/>
  <c r="K121" i="23" s="1"/>
  <c r="K138" i="23" s="1"/>
  <c r="K69" i="23"/>
  <c r="K86" i="23" s="1"/>
  <c r="K103" i="23" s="1"/>
  <c r="K120" i="23" s="1"/>
  <c r="K137" i="23" s="1"/>
  <c r="K68" i="23"/>
  <c r="K85" i="23" s="1"/>
  <c r="K102" i="23" s="1"/>
  <c r="K119" i="23" s="1"/>
  <c r="K136" i="23" s="1"/>
  <c r="K67" i="23"/>
  <c r="K84" i="23" s="1"/>
  <c r="K101" i="23" s="1"/>
  <c r="K118" i="23" s="1"/>
  <c r="K135" i="23" s="1"/>
  <c r="K66" i="23"/>
  <c r="K83" i="23" s="1"/>
  <c r="K100" i="23" s="1"/>
  <c r="K117" i="23" s="1"/>
  <c r="K134" i="23" s="1"/>
  <c r="K65" i="23"/>
  <c r="K82" i="23" s="1"/>
  <c r="K99" i="23" s="1"/>
  <c r="K116" i="23" s="1"/>
  <c r="K133" i="23" s="1"/>
  <c r="K64" i="23"/>
  <c r="K81" i="23" s="1"/>
  <c r="K98" i="23" s="1"/>
  <c r="K115" i="23" s="1"/>
  <c r="K132" i="23" s="1"/>
  <c r="K63" i="23"/>
  <c r="K80" i="23" s="1"/>
  <c r="K97" i="23" s="1"/>
  <c r="K114" i="23" s="1"/>
  <c r="K131" i="23" s="1"/>
  <c r="K62" i="23"/>
  <c r="K79" i="23" s="1"/>
  <c r="K96" i="23" s="1"/>
  <c r="K113" i="23" s="1"/>
  <c r="K130" i="23" s="1"/>
  <c r="K61" i="23"/>
  <c r="K78" i="23" s="1"/>
  <c r="K95" i="23" s="1"/>
  <c r="K112" i="23" s="1"/>
  <c r="K129" i="23" s="1"/>
  <c r="K60" i="23"/>
  <c r="K77" i="23" s="1"/>
  <c r="K94" i="23" s="1"/>
  <c r="K111" i="23" s="1"/>
  <c r="K128" i="23" s="1"/>
  <c r="K59" i="23"/>
  <c r="K76" i="23" s="1"/>
  <c r="K93" i="23" s="1"/>
  <c r="K110" i="23" s="1"/>
  <c r="K127" i="23" s="1"/>
  <c r="I71" i="23"/>
  <c r="J71" i="23" s="1"/>
  <c r="I88" i="23" l="1"/>
  <c r="J88" i="23" s="1"/>
  <c r="O71" i="23"/>
  <c r="L150" i="23"/>
  <c r="K58" i="23"/>
  <c r="K75" i="23" s="1"/>
  <c r="K92" i="23" s="1"/>
  <c r="K109" i="23" s="1"/>
  <c r="K126" i="23" s="1"/>
  <c r="K57" i="23"/>
  <c r="K74" i="23" s="1"/>
  <c r="K91" i="23" s="1"/>
  <c r="K108" i="23" s="1"/>
  <c r="K125" i="23" s="1"/>
  <c r="I73" i="23"/>
  <c r="J73" i="23" s="1"/>
  <c r="I72" i="23"/>
  <c r="J72" i="23" s="1"/>
  <c r="I70" i="23"/>
  <c r="J70" i="23" s="1"/>
  <c r="I13" i="23"/>
  <c r="J13" i="23" s="1"/>
  <c r="I8" i="23"/>
  <c r="J8" i="23" s="1"/>
  <c r="I69" i="23"/>
  <c r="J69" i="23" s="1"/>
  <c r="I68" i="23"/>
  <c r="J68" i="23" s="1"/>
  <c r="I67" i="23"/>
  <c r="J67" i="23" s="1"/>
  <c r="I66" i="23"/>
  <c r="J66" i="23" s="1"/>
  <c r="I65" i="23"/>
  <c r="J65" i="23" s="1"/>
  <c r="I64" i="23"/>
  <c r="J64" i="23" s="1"/>
  <c r="I63" i="23"/>
  <c r="J63" i="23" s="1"/>
  <c r="I62" i="23"/>
  <c r="J62" i="23" s="1"/>
  <c r="I61" i="23"/>
  <c r="J61" i="23" s="1"/>
  <c r="I60" i="23"/>
  <c r="J60" i="23" s="1"/>
  <c r="I59" i="23"/>
  <c r="J59" i="23" s="1"/>
  <c r="I58" i="23"/>
  <c r="J58" i="23" s="1"/>
  <c r="I57" i="23"/>
  <c r="J57" i="23" s="1"/>
  <c r="H73" i="23"/>
  <c r="H90" i="23" s="1"/>
  <c r="H107" i="23" s="1"/>
  <c r="H124" i="23" s="1"/>
  <c r="H141" i="23" s="1"/>
  <c r="H72" i="23"/>
  <c r="H89" i="23" s="1"/>
  <c r="H106" i="23" s="1"/>
  <c r="H123" i="23" s="1"/>
  <c r="H140" i="23" s="1"/>
  <c r="H71" i="23"/>
  <c r="H88" i="23" s="1"/>
  <c r="H105" i="23" s="1"/>
  <c r="H122" i="23" s="1"/>
  <c r="H139" i="23" s="1"/>
  <c r="H69" i="23"/>
  <c r="H86" i="23" s="1"/>
  <c r="H103" i="23" s="1"/>
  <c r="H120" i="23" s="1"/>
  <c r="H137" i="23" s="1"/>
  <c r="H68" i="23"/>
  <c r="H85" i="23" s="1"/>
  <c r="H102" i="23" s="1"/>
  <c r="H119" i="23" s="1"/>
  <c r="H136" i="23" s="1"/>
  <c r="H67" i="23"/>
  <c r="H84" i="23" s="1"/>
  <c r="H101" i="23" s="1"/>
  <c r="H118" i="23" s="1"/>
  <c r="H135" i="23" s="1"/>
  <c r="H66" i="23"/>
  <c r="H83" i="23" s="1"/>
  <c r="H100" i="23" s="1"/>
  <c r="H117" i="23" s="1"/>
  <c r="H134" i="23" s="1"/>
  <c r="H65" i="23"/>
  <c r="H82" i="23" s="1"/>
  <c r="H99" i="23" s="1"/>
  <c r="H116" i="23" s="1"/>
  <c r="H133" i="23" s="1"/>
  <c r="H64" i="23"/>
  <c r="H81" i="23" s="1"/>
  <c r="H98" i="23" s="1"/>
  <c r="H115" i="23" s="1"/>
  <c r="H132" i="23" s="1"/>
  <c r="H63" i="23"/>
  <c r="H80" i="23" s="1"/>
  <c r="H97" i="23" s="1"/>
  <c r="H114" i="23" s="1"/>
  <c r="H131" i="23" s="1"/>
  <c r="H62" i="23"/>
  <c r="H79" i="23" s="1"/>
  <c r="H96" i="23" s="1"/>
  <c r="H113" i="23" s="1"/>
  <c r="H130" i="23" s="1"/>
  <c r="H61" i="23"/>
  <c r="H78" i="23" s="1"/>
  <c r="H95" i="23" s="1"/>
  <c r="H112" i="23" s="1"/>
  <c r="H129" i="23" s="1"/>
  <c r="H60" i="23"/>
  <c r="H77" i="23" s="1"/>
  <c r="H94" i="23" s="1"/>
  <c r="H111" i="23" s="1"/>
  <c r="H128" i="23" s="1"/>
  <c r="H59" i="23"/>
  <c r="H76" i="23" s="1"/>
  <c r="H93" i="23" s="1"/>
  <c r="H110" i="23" s="1"/>
  <c r="H127" i="23" s="1"/>
  <c r="H58" i="23"/>
  <c r="H75" i="23" s="1"/>
  <c r="H92" i="23" s="1"/>
  <c r="H109" i="23" s="1"/>
  <c r="H126" i="23" s="1"/>
  <c r="H57" i="23"/>
  <c r="H74" i="23" s="1"/>
  <c r="H91" i="23" s="1"/>
  <c r="H108" i="23" s="1"/>
  <c r="H125" i="23" s="1"/>
  <c r="K14" i="23"/>
  <c r="K24" i="23" s="1"/>
  <c r="K34" i="23" s="1"/>
  <c r="K44" i="23" s="1"/>
  <c r="K54" i="23" s="1"/>
  <c r="K13" i="23"/>
  <c r="K23" i="23" s="1"/>
  <c r="K33" i="23" s="1"/>
  <c r="K43" i="23" s="1"/>
  <c r="K53" i="23" s="1"/>
  <c r="K12" i="23"/>
  <c r="K22" i="23" s="1"/>
  <c r="K32" i="23" s="1"/>
  <c r="K42" i="23" s="1"/>
  <c r="K52" i="23" s="1"/>
  <c r="K11" i="23"/>
  <c r="K21" i="23" s="1"/>
  <c r="K31" i="23" s="1"/>
  <c r="K41" i="23" s="1"/>
  <c r="K51" i="23" s="1"/>
  <c r="K10" i="23"/>
  <c r="K20" i="23" s="1"/>
  <c r="K30" i="23" s="1"/>
  <c r="K40" i="23" s="1"/>
  <c r="K50" i="23" s="1"/>
  <c r="K9" i="23"/>
  <c r="K19" i="23" s="1"/>
  <c r="K29" i="23" s="1"/>
  <c r="K39" i="23" s="1"/>
  <c r="K49" i="23" s="1"/>
  <c r="K7" i="23"/>
  <c r="K17" i="23" s="1"/>
  <c r="K27" i="23" s="1"/>
  <c r="K37" i="23" s="1"/>
  <c r="K47" i="23" s="1"/>
  <c r="K6" i="23"/>
  <c r="K16" i="23" s="1"/>
  <c r="K26" i="23" s="1"/>
  <c r="K36" i="23" s="1"/>
  <c r="K46" i="23" s="1"/>
  <c r="K5" i="23"/>
  <c r="K15" i="23" s="1"/>
  <c r="K25" i="23" s="1"/>
  <c r="K35" i="23" s="1"/>
  <c r="K45" i="23" s="1"/>
  <c r="I14" i="23"/>
  <c r="J14" i="23" s="1"/>
  <c r="I12" i="23"/>
  <c r="J12" i="23" s="1"/>
  <c r="I11" i="23"/>
  <c r="J11" i="23" s="1"/>
  <c r="I10" i="23"/>
  <c r="J10" i="23" s="1"/>
  <c r="I9" i="23"/>
  <c r="J9" i="23" s="1"/>
  <c r="I7" i="23"/>
  <c r="J7" i="23" s="1"/>
  <c r="I6" i="23"/>
  <c r="J6" i="23" s="1"/>
  <c r="I5" i="23"/>
  <c r="H14" i="23"/>
  <c r="H24" i="23" s="1"/>
  <c r="H34" i="23" s="1"/>
  <c r="H44" i="23" s="1"/>
  <c r="H54" i="23" s="1"/>
  <c r="H13" i="23"/>
  <c r="H23" i="23" s="1"/>
  <c r="H33" i="23" s="1"/>
  <c r="H43" i="23" s="1"/>
  <c r="H53" i="23" s="1"/>
  <c r="H11" i="23"/>
  <c r="H21" i="23" s="1"/>
  <c r="H31" i="23" s="1"/>
  <c r="H41" i="23" s="1"/>
  <c r="H51" i="23" s="1"/>
  <c r="H10" i="23"/>
  <c r="H20" i="23" s="1"/>
  <c r="H30" i="23" s="1"/>
  <c r="H40" i="23" s="1"/>
  <c r="H50" i="23" s="1"/>
  <c r="H9" i="23"/>
  <c r="H19" i="23" s="1"/>
  <c r="H29" i="23" s="1"/>
  <c r="H39" i="23" s="1"/>
  <c r="H49" i="23" s="1"/>
  <c r="H7" i="23"/>
  <c r="H17" i="23" s="1"/>
  <c r="H27" i="23" s="1"/>
  <c r="H37" i="23" s="1"/>
  <c r="H47" i="23" s="1"/>
  <c r="H6" i="23"/>
  <c r="H16" i="23" s="1"/>
  <c r="H26" i="23" s="1"/>
  <c r="H36" i="23" s="1"/>
  <c r="H46" i="23" s="1"/>
  <c r="H5" i="23"/>
  <c r="H15" i="23" s="1"/>
  <c r="H25" i="23" s="1"/>
  <c r="H35" i="23" s="1"/>
  <c r="H45" i="23" s="1"/>
  <c r="K8" i="23"/>
  <c r="K18" i="23" s="1"/>
  <c r="K28" i="23" s="1"/>
  <c r="K38" i="23" s="1"/>
  <c r="K48" i="23" s="1"/>
  <c r="H8" i="23"/>
  <c r="H18" i="23" s="1"/>
  <c r="H28" i="23" s="1"/>
  <c r="H38" i="23" s="1"/>
  <c r="H48" i="23" s="1"/>
  <c r="C26" i="13"/>
  <c r="O5" i="23" l="1"/>
  <c r="N5" i="23" s="1"/>
  <c r="J5" i="23"/>
  <c r="N71" i="23"/>
  <c r="I78" i="23"/>
  <c r="J78" i="23" s="1"/>
  <c r="O61" i="23"/>
  <c r="N61" i="23" s="1"/>
  <c r="I82" i="23"/>
  <c r="J82" i="23" s="1"/>
  <c r="O65" i="23"/>
  <c r="N65" i="23" s="1"/>
  <c r="I87" i="23"/>
  <c r="J87" i="23" s="1"/>
  <c r="O70" i="23"/>
  <c r="N70" i="23" s="1"/>
  <c r="I74" i="23"/>
  <c r="J74" i="23" s="1"/>
  <c r="O57" i="23"/>
  <c r="N57" i="23" s="1"/>
  <c r="I81" i="23"/>
  <c r="J81" i="23" s="1"/>
  <c r="O64" i="23"/>
  <c r="N64" i="23" s="1"/>
  <c r="I76" i="23"/>
  <c r="J76" i="23" s="1"/>
  <c r="O59" i="23"/>
  <c r="N59" i="23" s="1"/>
  <c r="I79" i="23"/>
  <c r="J79" i="23" s="1"/>
  <c r="O62" i="23"/>
  <c r="N62" i="23" s="1"/>
  <c r="I83" i="23"/>
  <c r="J83" i="23" s="1"/>
  <c r="O66" i="23"/>
  <c r="N66" i="23" s="1"/>
  <c r="I84" i="23"/>
  <c r="J84" i="23" s="1"/>
  <c r="O67" i="23"/>
  <c r="N67" i="23" s="1"/>
  <c r="I86" i="23"/>
  <c r="J86" i="23" s="1"/>
  <c r="O69" i="23"/>
  <c r="N69" i="23" s="1"/>
  <c r="I16" i="23"/>
  <c r="J16" i="23" s="1"/>
  <c r="O6" i="23"/>
  <c r="N6" i="23" s="1"/>
  <c r="I89" i="23"/>
  <c r="J89" i="23" s="1"/>
  <c r="O72" i="23"/>
  <c r="N72" i="23" s="1"/>
  <c r="I20" i="23"/>
  <c r="J20" i="23" s="1"/>
  <c r="O10" i="23"/>
  <c r="N10" i="23" s="1"/>
  <c r="I21" i="23"/>
  <c r="J21" i="23" s="1"/>
  <c r="O11" i="23"/>
  <c r="N11" i="23" s="1"/>
  <c r="I75" i="23"/>
  <c r="J75" i="23" s="1"/>
  <c r="O58" i="23"/>
  <c r="N58" i="23" s="1"/>
  <c r="I77" i="23"/>
  <c r="J77" i="23" s="1"/>
  <c r="O60" i="23"/>
  <c r="N60" i="23" s="1"/>
  <c r="I80" i="23"/>
  <c r="J80" i="23" s="1"/>
  <c r="O63" i="23"/>
  <c r="N63" i="23" s="1"/>
  <c r="I85" i="23"/>
  <c r="J85" i="23" s="1"/>
  <c r="O68" i="23"/>
  <c r="N68" i="23" s="1"/>
  <c r="I18" i="23"/>
  <c r="J18" i="23" s="1"/>
  <c r="O8" i="23"/>
  <c r="N8" i="23" s="1"/>
  <c r="I23" i="23"/>
  <c r="J23" i="23" s="1"/>
  <c r="O13" i="23"/>
  <c r="N13" i="23" s="1"/>
  <c r="I17" i="23"/>
  <c r="J17" i="23" s="1"/>
  <c r="O7" i="23"/>
  <c r="N7" i="23" s="1"/>
  <c r="I90" i="23"/>
  <c r="J90" i="23" s="1"/>
  <c r="O73" i="23"/>
  <c r="N73" i="23" s="1"/>
  <c r="I19" i="23"/>
  <c r="J19" i="23" s="1"/>
  <c r="O9" i="23"/>
  <c r="N9" i="23" s="1"/>
  <c r="I22" i="23"/>
  <c r="J22" i="23" s="1"/>
  <c r="O12" i="23"/>
  <c r="N12" i="23" s="1"/>
  <c r="I24" i="23"/>
  <c r="J24" i="23" s="1"/>
  <c r="O14" i="23"/>
  <c r="N14" i="23" s="1"/>
  <c r="I105" i="23"/>
  <c r="J105" i="23" s="1"/>
  <c r="O88" i="23"/>
  <c r="N88" i="23" s="1"/>
  <c r="I15" i="23"/>
  <c r="J15" i="23" s="1"/>
  <c r="O12" i="22"/>
  <c r="E29" i="22"/>
  <c r="D27" i="22"/>
  <c r="D26" i="22"/>
  <c r="O7" i="22"/>
  <c r="M5" i="22"/>
  <c r="O5" i="22" s="1"/>
  <c r="M6" i="22"/>
  <c r="O6" i="22" s="1"/>
  <c r="M4" i="22"/>
  <c r="O4" i="22" s="1"/>
  <c r="E13" i="22"/>
  <c r="F13" i="22" s="1"/>
  <c r="C36" i="13"/>
  <c r="C17" i="13"/>
  <c r="M21" i="13"/>
  <c r="E10" i="22"/>
  <c r="E11" i="22" s="1"/>
  <c r="F11" i="22" s="1"/>
  <c r="E9" i="22"/>
  <c r="F9" i="22" s="1"/>
  <c r="D6" i="22"/>
  <c r="E5" i="22"/>
  <c r="E6" i="22" s="1"/>
  <c r="E31" i="13"/>
  <c r="G27" i="13"/>
  <c r="E12" i="13"/>
  <c r="G8" i="13"/>
  <c r="F7" i="13"/>
  <c r="K7" i="13" s="1"/>
  <c r="E5" i="9"/>
  <c r="J5" i="9"/>
  <c r="M5" i="9"/>
  <c r="S142" i="23"/>
  <c r="S148" i="23" s="1"/>
  <c r="R142" i="23"/>
  <c r="R148" i="23" s="1"/>
  <c r="M142" i="23"/>
  <c r="M148" i="23" s="1"/>
  <c r="K142" i="23"/>
  <c r="K148" i="23" s="1"/>
  <c r="H142" i="23"/>
  <c r="H148" i="23" s="1"/>
  <c r="G142" i="23"/>
  <c r="G148" i="23" s="1"/>
  <c r="S55" i="23"/>
  <c r="S147" i="23" s="1"/>
  <c r="R55" i="23"/>
  <c r="R147" i="23" s="1"/>
  <c r="M55" i="23"/>
  <c r="M147" i="23" s="1"/>
  <c r="K55" i="23"/>
  <c r="K147" i="23" s="1"/>
  <c r="H55" i="23"/>
  <c r="H147" i="23" s="1"/>
  <c r="G55" i="23"/>
  <c r="G147" i="23" s="1"/>
  <c r="S150" i="23" l="1"/>
  <c r="R150" i="23"/>
  <c r="I106" i="23"/>
  <c r="J106" i="23" s="1"/>
  <c r="O89" i="23"/>
  <c r="N89" i="23" s="1"/>
  <c r="I29" i="23"/>
  <c r="J29" i="23" s="1"/>
  <c r="O19" i="23"/>
  <c r="I26" i="23"/>
  <c r="J26" i="23" s="1"/>
  <c r="O16" i="23"/>
  <c r="I107" i="23"/>
  <c r="J107" i="23" s="1"/>
  <c r="O90" i="23"/>
  <c r="N90" i="23" s="1"/>
  <c r="I27" i="23"/>
  <c r="J27" i="23" s="1"/>
  <c r="O17" i="23"/>
  <c r="I101" i="23"/>
  <c r="J101" i="23" s="1"/>
  <c r="O84" i="23"/>
  <c r="N84" i="23" s="1"/>
  <c r="I28" i="23"/>
  <c r="J28" i="23" s="1"/>
  <c r="O18" i="23"/>
  <c r="I97" i="23"/>
  <c r="J97" i="23" s="1"/>
  <c r="O80" i="23"/>
  <c r="N80" i="23" s="1"/>
  <c r="I94" i="23"/>
  <c r="J94" i="23" s="1"/>
  <c r="O77" i="23"/>
  <c r="N77" i="23" s="1"/>
  <c r="I104" i="23"/>
  <c r="J104" i="23" s="1"/>
  <c r="O87" i="23"/>
  <c r="N87" i="23" s="1"/>
  <c r="I93" i="23"/>
  <c r="J93" i="23" s="1"/>
  <c r="O76" i="23"/>
  <c r="N76" i="23" s="1"/>
  <c r="I98" i="23"/>
  <c r="J98" i="23" s="1"/>
  <c r="O81" i="23"/>
  <c r="N81" i="23" s="1"/>
  <c r="I91" i="23"/>
  <c r="J91" i="23" s="1"/>
  <c r="O74" i="23"/>
  <c r="N74" i="23" s="1"/>
  <c r="I31" i="23"/>
  <c r="J31" i="23" s="1"/>
  <c r="O21" i="23"/>
  <c r="I33" i="23"/>
  <c r="J33" i="23" s="1"/>
  <c r="O23" i="23"/>
  <c r="I100" i="23"/>
  <c r="J100" i="23" s="1"/>
  <c r="O83" i="23"/>
  <c r="N83" i="23" s="1"/>
  <c r="I102" i="23"/>
  <c r="J102" i="23" s="1"/>
  <c r="O85" i="23"/>
  <c r="N85" i="23" s="1"/>
  <c r="I34" i="23"/>
  <c r="J34" i="23" s="1"/>
  <c r="O24" i="23"/>
  <c r="I99" i="23"/>
  <c r="J99" i="23" s="1"/>
  <c r="O82" i="23"/>
  <c r="N82" i="23" s="1"/>
  <c r="I32" i="23"/>
  <c r="J32" i="23" s="1"/>
  <c r="O22" i="23"/>
  <c r="I30" i="23"/>
  <c r="J30" i="23" s="1"/>
  <c r="O20" i="23"/>
  <c r="I103" i="23"/>
  <c r="J103" i="23" s="1"/>
  <c r="O86" i="23"/>
  <c r="N86" i="23" s="1"/>
  <c r="I96" i="23"/>
  <c r="J96" i="23" s="1"/>
  <c r="O79" i="23"/>
  <c r="N79" i="23" s="1"/>
  <c r="I25" i="23"/>
  <c r="J25" i="23" s="1"/>
  <c r="O15" i="23"/>
  <c r="P88" i="23"/>
  <c r="I92" i="23"/>
  <c r="J92" i="23" s="1"/>
  <c r="O75" i="23"/>
  <c r="N75" i="23" s="1"/>
  <c r="I122" i="23"/>
  <c r="J122" i="23" s="1"/>
  <c r="O105" i="23"/>
  <c r="N105" i="23" s="1"/>
  <c r="I95" i="23"/>
  <c r="J95" i="23" s="1"/>
  <c r="O78" i="23"/>
  <c r="N78" i="23" s="1"/>
  <c r="P7" i="23"/>
  <c r="P11" i="23"/>
  <c r="P14" i="23"/>
  <c r="P57" i="23"/>
  <c r="P58" i="23"/>
  <c r="P59" i="23"/>
  <c r="P62" i="23"/>
  <c r="P70" i="23"/>
  <c r="P6" i="23"/>
  <c r="P72" i="23"/>
  <c r="G150" i="23"/>
  <c r="P73" i="23"/>
  <c r="P8" i="23"/>
  <c r="K150" i="23"/>
  <c r="M150" i="23"/>
  <c r="P63" i="23"/>
  <c r="P67" i="23"/>
  <c r="H150" i="23"/>
  <c r="P9" i="23"/>
  <c r="P10" i="23"/>
  <c r="P12" i="23"/>
  <c r="P60" i="23"/>
  <c r="P65" i="23"/>
  <c r="P66" i="23"/>
  <c r="P68" i="23"/>
  <c r="P5" i="23"/>
  <c r="P71" i="23"/>
  <c r="P13" i="23"/>
  <c r="P61" i="23"/>
  <c r="P64" i="23"/>
  <c r="P69" i="23"/>
  <c r="D28" i="22"/>
  <c r="F29" i="22"/>
  <c r="D7" i="22"/>
  <c r="F10" i="22"/>
  <c r="F7" i="22"/>
  <c r="F6" i="22"/>
  <c r="F5" i="22"/>
  <c r="K5" i="15"/>
  <c r="K6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N46" i="15"/>
  <c r="Q41" i="15"/>
  <c r="Q42" i="15"/>
  <c r="O18" i="15"/>
  <c r="F4" i="21"/>
  <c r="H46" i="15"/>
  <c r="G29" i="13"/>
  <c r="H49" i="15"/>
  <c r="H48" i="15"/>
  <c r="C27" i="13"/>
  <c r="F27" i="13" s="1"/>
  <c r="K27" i="13" s="1"/>
  <c r="C8" i="13"/>
  <c r="F26" i="13"/>
  <c r="K26" i="13" s="1"/>
  <c r="Q18" i="15"/>
  <c r="Q27" i="15"/>
  <c r="Q26" i="15"/>
  <c r="W1" i="23" l="1"/>
  <c r="P77" i="23"/>
  <c r="I42" i="23"/>
  <c r="J42" i="23" s="1"/>
  <c r="O32" i="23"/>
  <c r="N24" i="23"/>
  <c r="P24" i="23"/>
  <c r="P86" i="23"/>
  <c r="I40" i="23"/>
  <c r="J40" i="23" s="1"/>
  <c r="O30" i="23"/>
  <c r="P80" i="23"/>
  <c r="N18" i="23"/>
  <c r="P18" i="23"/>
  <c r="P90" i="23"/>
  <c r="I113" i="23"/>
  <c r="J113" i="23" s="1"/>
  <c r="O96" i="23"/>
  <c r="N96" i="23" s="1"/>
  <c r="I116" i="23"/>
  <c r="J116" i="23" s="1"/>
  <c r="O99" i="23"/>
  <c r="N99" i="23" s="1"/>
  <c r="P79" i="23"/>
  <c r="N17" i="23"/>
  <c r="P17" i="23"/>
  <c r="N16" i="23"/>
  <c r="P16" i="23"/>
  <c r="I35" i="23"/>
  <c r="J35" i="23" s="1"/>
  <c r="O25" i="23"/>
  <c r="P76" i="23"/>
  <c r="I120" i="23"/>
  <c r="J120" i="23" s="1"/>
  <c r="O103" i="23"/>
  <c r="N103" i="23" s="1"/>
  <c r="N20" i="23"/>
  <c r="P20" i="23"/>
  <c r="I111" i="23"/>
  <c r="J111" i="23" s="1"/>
  <c r="O94" i="23"/>
  <c r="N94" i="23" s="1"/>
  <c r="P82" i="23"/>
  <c r="P84" i="23"/>
  <c r="P85" i="23"/>
  <c r="I119" i="23"/>
  <c r="J119" i="23" s="1"/>
  <c r="O102" i="23"/>
  <c r="N102" i="23" s="1"/>
  <c r="P75" i="23"/>
  <c r="I43" i="23"/>
  <c r="J43" i="23" s="1"/>
  <c r="O33" i="23"/>
  <c r="I36" i="23"/>
  <c r="J36" i="23" s="1"/>
  <c r="O26" i="23"/>
  <c r="P81" i="23"/>
  <c r="P87" i="23"/>
  <c r="N22" i="23"/>
  <c r="P22" i="23"/>
  <c r="I38" i="23"/>
  <c r="J38" i="23" s="1"/>
  <c r="O28" i="23"/>
  <c r="I37" i="23"/>
  <c r="J37" i="23" s="1"/>
  <c r="O27" i="23"/>
  <c r="I117" i="23"/>
  <c r="J117" i="23" s="1"/>
  <c r="O100" i="23"/>
  <c r="N100" i="23" s="1"/>
  <c r="N21" i="23"/>
  <c r="P21" i="23"/>
  <c r="I41" i="23"/>
  <c r="J41" i="23" s="1"/>
  <c r="O31" i="23"/>
  <c r="I39" i="23"/>
  <c r="J39" i="23" s="1"/>
  <c r="O29" i="23"/>
  <c r="I121" i="23"/>
  <c r="J121" i="23" s="1"/>
  <c r="O104" i="23"/>
  <c r="N104" i="23" s="1"/>
  <c r="I44" i="23"/>
  <c r="J44" i="23" s="1"/>
  <c r="O34" i="23"/>
  <c r="I118" i="23"/>
  <c r="J118" i="23" s="1"/>
  <c r="O101" i="23"/>
  <c r="N101" i="23" s="1"/>
  <c r="P83" i="23"/>
  <c r="P105" i="23"/>
  <c r="N23" i="23"/>
  <c r="P23" i="23"/>
  <c r="I109" i="23"/>
  <c r="J109" i="23" s="1"/>
  <c r="O92" i="23"/>
  <c r="N92" i="23" s="1"/>
  <c r="P74" i="23"/>
  <c r="P89" i="23"/>
  <c r="I115" i="23"/>
  <c r="J115" i="23" s="1"/>
  <c r="O98" i="23"/>
  <c r="N98" i="23" s="1"/>
  <c r="I110" i="23"/>
  <c r="J110" i="23" s="1"/>
  <c r="O93" i="23"/>
  <c r="N93" i="23" s="1"/>
  <c r="I114" i="23"/>
  <c r="J114" i="23" s="1"/>
  <c r="O97" i="23"/>
  <c r="N97" i="23" s="1"/>
  <c r="P78" i="23"/>
  <c r="I112" i="23"/>
  <c r="J112" i="23" s="1"/>
  <c r="O95" i="23"/>
  <c r="N95" i="23" s="1"/>
  <c r="I124" i="23"/>
  <c r="J124" i="23" s="1"/>
  <c r="O107" i="23"/>
  <c r="N107" i="23" s="1"/>
  <c r="I139" i="23"/>
  <c r="O122" i="23"/>
  <c r="N122" i="23" s="1"/>
  <c r="N19" i="23"/>
  <c r="P19" i="23"/>
  <c r="N15" i="23"/>
  <c r="P15" i="23"/>
  <c r="I108" i="23"/>
  <c r="J108" i="23" s="1"/>
  <c r="O91" i="23"/>
  <c r="N91" i="23" s="1"/>
  <c r="I123" i="23"/>
  <c r="J123" i="23" s="1"/>
  <c r="O106" i="23"/>
  <c r="N106" i="23" s="1"/>
  <c r="M12" i="22"/>
  <c r="K28" i="13"/>
  <c r="E12" i="22" s="1"/>
  <c r="C10" i="13"/>
  <c r="F8" i="13"/>
  <c r="C29" i="13"/>
  <c r="F29" i="13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18" i="15"/>
  <c r="M27" i="15"/>
  <c r="K27" i="15"/>
  <c r="M26" i="15"/>
  <c r="K26" i="15"/>
  <c r="O139" i="23" l="1"/>
  <c r="N139" i="23" s="1"/>
  <c r="J139" i="23"/>
  <c r="I136" i="23"/>
  <c r="O119" i="23"/>
  <c r="N119" i="23" s="1"/>
  <c r="I53" i="23"/>
  <c r="O43" i="23"/>
  <c r="I133" i="23"/>
  <c r="O116" i="23"/>
  <c r="N116" i="23" s="1"/>
  <c r="I138" i="23"/>
  <c r="O121" i="23"/>
  <c r="N121" i="23" s="1"/>
  <c r="I130" i="23"/>
  <c r="O113" i="23"/>
  <c r="N113" i="23" s="1"/>
  <c r="P100" i="23"/>
  <c r="P94" i="23"/>
  <c r="P99" i="23"/>
  <c r="I132" i="23"/>
  <c r="O115" i="23"/>
  <c r="N115" i="23" s="1"/>
  <c r="P106" i="23"/>
  <c r="P92" i="23"/>
  <c r="N30" i="23"/>
  <c r="P30" i="23"/>
  <c r="P97" i="23"/>
  <c r="I134" i="23"/>
  <c r="O117" i="23"/>
  <c r="N117" i="23" s="1"/>
  <c r="N27" i="23"/>
  <c r="P27" i="23"/>
  <c r="P107" i="23"/>
  <c r="N32" i="23"/>
  <c r="P32" i="23"/>
  <c r="P104" i="23"/>
  <c r="N29" i="23"/>
  <c r="P29" i="23"/>
  <c r="P102" i="23"/>
  <c r="P98" i="23"/>
  <c r="I140" i="23"/>
  <c r="O123" i="23"/>
  <c r="N123" i="23" s="1"/>
  <c r="P91" i="23"/>
  <c r="I128" i="23"/>
  <c r="O111" i="23"/>
  <c r="N111" i="23" s="1"/>
  <c r="I52" i="23"/>
  <c r="O42" i="23"/>
  <c r="N31" i="23"/>
  <c r="P31" i="23"/>
  <c r="I127" i="23"/>
  <c r="O110" i="23"/>
  <c r="N110" i="23" s="1"/>
  <c r="I125" i="23"/>
  <c r="O108" i="23"/>
  <c r="N108" i="23" s="1"/>
  <c r="I48" i="23"/>
  <c r="O38" i="23"/>
  <c r="I137" i="23"/>
  <c r="O120" i="23"/>
  <c r="N120" i="23" s="1"/>
  <c r="I141" i="23"/>
  <c r="O124" i="23"/>
  <c r="N124" i="23" s="1"/>
  <c r="I135" i="23"/>
  <c r="O118" i="23"/>
  <c r="N118" i="23" s="1"/>
  <c r="N26" i="23"/>
  <c r="P26" i="23"/>
  <c r="I49" i="23"/>
  <c r="O39" i="23"/>
  <c r="P96" i="23"/>
  <c r="N25" i="23"/>
  <c r="P25" i="23"/>
  <c r="P101" i="23"/>
  <c r="I45" i="23"/>
  <c r="O35" i="23"/>
  <c r="I129" i="23"/>
  <c r="O112" i="23"/>
  <c r="N112" i="23" s="1"/>
  <c r="N34" i="23"/>
  <c r="P34" i="23"/>
  <c r="I46" i="23"/>
  <c r="O36" i="23"/>
  <c r="I131" i="23"/>
  <c r="O114" i="23"/>
  <c r="N114" i="23" s="1"/>
  <c r="P93" i="23"/>
  <c r="I51" i="23"/>
  <c r="O41" i="23"/>
  <c r="I47" i="23"/>
  <c r="O37" i="23"/>
  <c r="N28" i="23"/>
  <c r="P28" i="23"/>
  <c r="I126" i="23"/>
  <c r="O109" i="23"/>
  <c r="N109" i="23" s="1"/>
  <c r="I50" i="23"/>
  <c r="O40" i="23"/>
  <c r="P103" i="23"/>
  <c r="P122" i="23"/>
  <c r="P95" i="23"/>
  <c r="I54" i="23"/>
  <c r="O44" i="23"/>
  <c r="N33" i="23"/>
  <c r="P33" i="23"/>
  <c r="F12" i="22"/>
  <c r="F15" i="22" s="1"/>
  <c r="F16" i="22" s="1"/>
  <c r="E15" i="22"/>
  <c r="D25" i="22"/>
  <c r="N6" i="22"/>
  <c r="N7" i="22"/>
  <c r="N5" i="22"/>
  <c r="N4" i="22"/>
  <c r="J10" i="15"/>
  <c r="F10" i="21" s="1"/>
  <c r="I46" i="15"/>
  <c r="P139" i="23" l="1"/>
  <c r="O48" i="23"/>
  <c r="P48" i="23" s="1"/>
  <c r="J48" i="23"/>
  <c r="O125" i="23"/>
  <c r="N125" i="23" s="1"/>
  <c r="J125" i="23"/>
  <c r="O129" i="23"/>
  <c r="N129" i="23" s="1"/>
  <c r="J129" i="23"/>
  <c r="O127" i="23"/>
  <c r="N127" i="23" s="1"/>
  <c r="J127" i="23"/>
  <c r="O45" i="23"/>
  <c r="N45" i="23" s="1"/>
  <c r="J45" i="23"/>
  <c r="O132" i="23"/>
  <c r="N132" i="23" s="1"/>
  <c r="J132" i="23"/>
  <c r="O128" i="23"/>
  <c r="N128" i="23" s="1"/>
  <c r="J128" i="23"/>
  <c r="O50" i="23"/>
  <c r="P50" i="23" s="1"/>
  <c r="J50" i="23"/>
  <c r="O140" i="23"/>
  <c r="N140" i="23" s="1"/>
  <c r="J140" i="23"/>
  <c r="O138" i="23"/>
  <c r="N138" i="23" s="1"/>
  <c r="J138" i="23"/>
  <c r="O133" i="23"/>
  <c r="N133" i="23" s="1"/>
  <c r="J133" i="23"/>
  <c r="O47" i="23"/>
  <c r="N47" i="23" s="1"/>
  <c r="J47" i="23"/>
  <c r="O141" i="23"/>
  <c r="N141" i="23" s="1"/>
  <c r="J141" i="23"/>
  <c r="O53" i="23"/>
  <c r="P53" i="23" s="1"/>
  <c r="J53" i="23"/>
  <c r="O51" i="23"/>
  <c r="N51" i="23" s="1"/>
  <c r="J51" i="23"/>
  <c r="O136" i="23"/>
  <c r="N136" i="23" s="1"/>
  <c r="J136" i="23"/>
  <c r="O46" i="23"/>
  <c r="N46" i="23" s="1"/>
  <c r="J46" i="23"/>
  <c r="O134" i="23"/>
  <c r="N134" i="23" s="1"/>
  <c r="J134" i="23"/>
  <c r="O130" i="23"/>
  <c r="N130" i="23" s="1"/>
  <c r="J130" i="23"/>
  <c r="O135" i="23"/>
  <c r="N135" i="23" s="1"/>
  <c r="J135" i="23"/>
  <c r="O137" i="23"/>
  <c r="N137" i="23" s="1"/>
  <c r="J137" i="23"/>
  <c r="O54" i="23"/>
  <c r="N54" i="23" s="1"/>
  <c r="J54" i="23"/>
  <c r="O52" i="23"/>
  <c r="N52" i="23" s="1"/>
  <c r="J52" i="23"/>
  <c r="O49" i="23"/>
  <c r="P49" i="23" s="1"/>
  <c r="J49" i="23"/>
  <c r="O126" i="23"/>
  <c r="N126" i="23" s="1"/>
  <c r="J126" i="23"/>
  <c r="O131" i="23"/>
  <c r="N131" i="23" s="1"/>
  <c r="J131" i="23"/>
  <c r="P123" i="23"/>
  <c r="I142" i="23"/>
  <c r="I148" i="23" s="1"/>
  <c r="P121" i="23"/>
  <c r="P114" i="23"/>
  <c r="P129" i="23"/>
  <c r="I55" i="23"/>
  <c r="N36" i="23"/>
  <c r="P36" i="23"/>
  <c r="N44" i="23"/>
  <c r="P44" i="23"/>
  <c r="N38" i="23"/>
  <c r="P38" i="23"/>
  <c r="P108" i="23"/>
  <c r="P116" i="23"/>
  <c r="P119" i="23"/>
  <c r="P131" i="23"/>
  <c r="P113" i="23"/>
  <c r="P110" i="23"/>
  <c r="N43" i="23"/>
  <c r="P43" i="23"/>
  <c r="P111" i="23"/>
  <c r="P115" i="23"/>
  <c r="P124" i="23"/>
  <c r="P120" i="23"/>
  <c r="P112" i="23"/>
  <c r="N42" i="23"/>
  <c r="P42" i="23"/>
  <c r="N35" i="23"/>
  <c r="P35" i="23"/>
  <c r="P109" i="23"/>
  <c r="N39" i="23"/>
  <c r="P39" i="23"/>
  <c r="N41" i="23"/>
  <c r="P41" i="23"/>
  <c r="P118" i="23"/>
  <c r="P117" i="23"/>
  <c r="N40" i="23"/>
  <c r="P40" i="23"/>
  <c r="P126" i="23"/>
  <c r="N37" i="23"/>
  <c r="P37" i="23"/>
  <c r="E16" i="22"/>
  <c r="N12" i="22"/>
  <c r="P46" i="15"/>
  <c r="Q19" i="15"/>
  <c r="Q20" i="15"/>
  <c r="Q21" i="15"/>
  <c r="Q22" i="15"/>
  <c r="Q23" i="15"/>
  <c r="Q24" i="15"/>
  <c r="Q25" i="15"/>
  <c r="Q28" i="15"/>
  <c r="Q29" i="15"/>
  <c r="Q30" i="15"/>
  <c r="Q31" i="15"/>
  <c r="Q32" i="15"/>
  <c r="Q33" i="15"/>
  <c r="Q34" i="15"/>
  <c r="Q35" i="15"/>
  <c r="Q36" i="15"/>
  <c r="Q37" i="15"/>
  <c r="Q38" i="15"/>
  <c r="Q39" i="15"/>
  <c r="Q40" i="15"/>
  <c r="Q43" i="15"/>
  <c r="Q44" i="15"/>
  <c r="P127" i="23" l="1"/>
  <c r="P134" i="23"/>
  <c r="P46" i="23"/>
  <c r="N142" i="23"/>
  <c r="N148" i="23" s="1"/>
  <c r="N53" i="23"/>
  <c r="P125" i="23"/>
  <c r="P133" i="23"/>
  <c r="P136" i="23"/>
  <c r="P138" i="23"/>
  <c r="P137" i="23"/>
  <c r="P45" i="23"/>
  <c r="N50" i="23"/>
  <c r="P51" i="23"/>
  <c r="N48" i="23"/>
  <c r="P141" i="23"/>
  <c r="P140" i="23"/>
  <c r="P130" i="23"/>
  <c r="P47" i="23"/>
  <c r="P135" i="23"/>
  <c r="O55" i="23"/>
  <c r="O147" i="23" s="1"/>
  <c r="N49" i="23"/>
  <c r="P54" i="23"/>
  <c r="P128" i="23"/>
  <c r="P52" i="23"/>
  <c r="J55" i="23"/>
  <c r="J147" i="23" s="1"/>
  <c r="P132" i="23"/>
  <c r="O142" i="23"/>
  <c r="O148" i="23" s="1"/>
  <c r="J142" i="23"/>
  <c r="J148" i="23" s="1"/>
  <c r="I147" i="23"/>
  <c r="I150" i="23" s="1"/>
  <c r="E17" i="22"/>
  <c r="F17" i="22" s="1"/>
  <c r="Q46" i="15"/>
  <c r="N55" i="23" l="1"/>
  <c r="N147" i="23" s="1"/>
  <c r="N150" i="23" s="1"/>
  <c r="P55" i="23"/>
  <c r="P147" i="23" s="1"/>
  <c r="P142" i="23"/>
  <c r="P148" i="23" s="1"/>
  <c r="O150" i="23"/>
  <c r="Q5" i="23" s="1"/>
  <c r="E18" i="22"/>
  <c r="F18" i="22" s="1"/>
  <c r="D22" i="22" s="1"/>
  <c r="J150" i="23"/>
  <c r="Q81" i="23"/>
  <c r="Q87" i="23"/>
  <c r="Q74" i="23"/>
  <c r="Q90" i="23"/>
  <c r="Q82" i="23"/>
  <c r="Q85" i="23"/>
  <c r="Q105" i="23"/>
  <c r="Q86" i="23"/>
  <c r="Q79" i="23"/>
  <c r="Q72" i="23"/>
  <c r="Q39" i="23"/>
  <c r="Q52" i="23"/>
  <c r="Q7" i="23"/>
  <c r="Q12" i="23"/>
  <c r="Q96" i="23"/>
  <c r="Q13" i="23"/>
  <c r="F6" i="21"/>
  <c r="K28" i="15"/>
  <c r="D20" i="22" l="1"/>
  <c r="D23" i="22"/>
  <c r="Q132" i="23"/>
  <c r="Q123" i="23"/>
  <c r="Q51" i="23"/>
  <c r="Q137" i="23"/>
  <c r="Q118" i="23"/>
  <c r="Q138" i="23"/>
  <c r="Q116" i="23"/>
  <c r="Q108" i="23"/>
  <c r="Q110" i="23"/>
  <c r="P150" i="23"/>
  <c r="Q59" i="23"/>
  <c r="Q65" i="23"/>
  <c r="D21" i="22"/>
  <c r="Q28" i="23"/>
  <c r="Q33" i="23"/>
  <c r="Q69" i="23"/>
  <c r="Q70" i="23"/>
  <c r="Q101" i="23"/>
  <c r="Q104" i="23"/>
  <c r="Q97" i="23"/>
  <c r="Q42" i="23"/>
  <c r="Q60" i="23"/>
  <c r="Q103" i="23"/>
  <c r="Q130" i="23"/>
  <c r="Q73" i="23"/>
  <c r="Q41" i="23"/>
  <c r="Q115" i="23"/>
  <c r="Q20" i="23"/>
  <c r="Q109" i="23"/>
  <c r="Q32" i="23"/>
  <c r="Q106" i="23"/>
  <c r="Q112" i="23"/>
  <c r="Q117" i="23"/>
  <c r="Q139" i="23"/>
  <c r="Q136" i="23"/>
  <c r="Q36" i="23"/>
  <c r="Q98" i="23"/>
  <c r="Q133" i="23"/>
  <c r="Q8" i="23"/>
  <c r="Q17" i="23"/>
  <c r="Q127" i="23"/>
  <c r="Q16" i="23"/>
  <c r="Q58" i="23"/>
  <c r="Q125" i="23"/>
  <c r="Q50" i="23"/>
  <c r="Q100" i="23"/>
  <c r="Q67" i="23"/>
  <c r="Q93" i="23"/>
  <c r="Q126" i="23"/>
  <c r="Q34" i="23"/>
  <c r="Q26" i="23"/>
  <c r="Q49" i="23"/>
  <c r="Q57" i="23"/>
  <c r="Q129" i="23"/>
  <c r="Q11" i="23"/>
  <c r="Q71" i="23"/>
  <c r="Q119" i="23"/>
  <c r="Q102" i="23"/>
  <c r="Q19" i="23"/>
  <c r="Q121" i="23"/>
  <c r="Q27" i="23"/>
  <c r="Q24" i="23"/>
  <c r="Q134" i="23"/>
  <c r="Q18" i="23"/>
  <c r="Q92" i="23"/>
  <c r="Q120" i="23"/>
  <c r="Q46" i="23"/>
  <c r="Q53" i="23"/>
  <c r="Q114" i="23"/>
  <c r="Q44" i="23"/>
  <c r="Q91" i="23"/>
  <c r="Q75" i="23"/>
  <c r="Q135" i="23"/>
  <c r="Q99" i="23"/>
  <c r="Q80" i="23"/>
  <c r="Q6" i="23"/>
  <c r="Q25" i="23"/>
  <c r="Q113" i="23"/>
  <c r="Q45" i="23"/>
  <c r="Q14" i="23"/>
  <c r="Q107" i="23"/>
  <c r="Q23" i="23"/>
  <c r="Q89" i="23"/>
  <c r="Q35" i="23"/>
  <c r="Q64" i="23"/>
  <c r="Q40" i="23"/>
  <c r="Q131" i="23"/>
  <c r="Q140" i="23"/>
  <c r="Q30" i="23"/>
  <c r="Q21" i="23"/>
  <c r="Q9" i="23"/>
  <c r="Q76" i="23"/>
  <c r="Q141" i="23"/>
  <c r="Q43" i="23"/>
  <c r="Q68" i="23"/>
  <c r="Q62" i="23"/>
  <c r="Q63" i="23"/>
  <c r="Q77" i="23"/>
  <c r="Q48" i="23"/>
  <c r="Q124" i="23"/>
  <c r="Q29" i="23"/>
  <c r="Q37" i="23"/>
  <c r="Q94" i="23"/>
  <c r="Q78" i="23"/>
  <c r="Q111" i="23"/>
  <c r="Q38" i="23"/>
  <c r="Q22" i="23"/>
  <c r="Q66" i="23"/>
  <c r="Q54" i="23"/>
  <c r="Q88" i="23"/>
  <c r="Q128" i="23"/>
  <c r="Q15" i="23"/>
  <c r="Q95" i="23"/>
  <c r="Q122" i="23"/>
  <c r="Q84" i="23"/>
  <c r="Q47" i="23"/>
  <c r="Q31" i="23"/>
  <c r="Q61" i="23"/>
  <c r="Q10" i="23"/>
  <c r="Q83" i="23"/>
  <c r="F5" i="21"/>
  <c r="Q55" i="23" l="1"/>
  <c r="Q147" i="23" s="1"/>
  <c r="Q142" i="23"/>
  <c r="Q148" i="23" s="1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23" i="18"/>
  <c r="F124" i="18"/>
  <c r="F125" i="18"/>
  <c r="F126" i="18"/>
  <c r="F127" i="18"/>
  <c r="F128" i="18"/>
  <c r="F129" i="18"/>
  <c r="F130" i="18"/>
  <c r="F131" i="18"/>
  <c r="F132" i="18"/>
  <c r="F133" i="18"/>
  <c r="F134" i="18"/>
  <c r="F135" i="18"/>
  <c r="F136" i="18"/>
  <c r="F137" i="18"/>
  <c r="F138" i="18"/>
  <c r="F139" i="18"/>
  <c r="F140" i="18"/>
  <c r="F141" i="18"/>
  <c r="F142" i="18"/>
  <c r="F143" i="18"/>
  <c r="F144" i="18"/>
  <c r="F145" i="18"/>
  <c r="F146" i="18"/>
  <c r="F147" i="18"/>
  <c r="F148" i="18"/>
  <c r="F149" i="18"/>
  <c r="F150" i="18"/>
  <c r="F151" i="18"/>
  <c r="F152" i="18"/>
  <c r="F153" i="18"/>
  <c r="F154" i="18"/>
  <c r="F155" i="18"/>
  <c r="F156" i="18"/>
  <c r="F157" i="18"/>
  <c r="F158" i="18"/>
  <c r="F159" i="18"/>
  <c r="F160" i="18"/>
  <c r="F161" i="18"/>
  <c r="F162" i="18"/>
  <c r="F163" i="18"/>
  <c r="F164" i="18"/>
  <c r="F165" i="18"/>
  <c r="F166" i="18"/>
  <c r="F167" i="18"/>
  <c r="F168" i="18"/>
  <c r="F169" i="18"/>
  <c r="F170" i="18"/>
  <c r="F171" i="18"/>
  <c r="F172" i="18"/>
  <c r="F173" i="18"/>
  <c r="F174" i="18"/>
  <c r="F175" i="18"/>
  <c r="F176" i="18"/>
  <c r="F177" i="18"/>
  <c r="F178" i="18"/>
  <c r="F179" i="18"/>
  <c r="F180" i="18"/>
  <c r="F181" i="18"/>
  <c r="F182" i="18"/>
  <c r="F183" i="18"/>
  <c r="F184" i="18"/>
  <c r="F185" i="18"/>
  <c r="F186" i="18"/>
  <c r="F187" i="18"/>
  <c r="F188" i="18"/>
  <c r="F189" i="18"/>
  <c r="F190" i="18"/>
  <c r="F191" i="18"/>
  <c r="F192" i="18"/>
  <c r="F193" i="18"/>
  <c r="F194" i="18"/>
  <c r="F195" i="18"/>
  <c r="F196" i="18"/>
  <c r="F197" i="18"/>
  <c r="F198" i="18"/>
  <c r="F199" i="18"/>
  <c r="F200" i="18"/>
  <c r="F201" i="18"/>
  <c r="F202" i="18"/>
  <c r="F203" i="18"/>
  <c r="F204" i="18"/>
  <c r="F205" i="18"/>
  <c r="F206" i="18"/>
  <c r="F207" i="18"/>
  <c r="F208" i="18"/>
  <c r="F209" i="18"/>
  <c r="F210" i="18"/>
  <c r="F211" i="18"/>
  <c r="F212" i="18"/>
  <c r="F213" i="18"/>
  <c r="F214" i="18"/>
  <c r="F215" i="18"/>
  <c r="F216" i="18"/>
  <c r="F217" i="18"/>
  <c r="F218" i="18"/>
  <c r="F219" i="18"/>
  <c r="F220" i="18"/>
  <c r="F221" i="18"/>
  <c r="F222" i="18"/>
  <c r="F223" i="18"/>
  <c r="F224" i="18"/>
  <c r="F225" i="18"/>
  <c r="F226" i="18"/>
  <c r="F227" i="18"/>
  <c r="F228" i="18"/>
  <c r="F229" i="18"/>
  <c r="F230" i="18"/>
  <c r="F231" i="18"/>
  <c r="F232" i="18"/>
  <c r="F233" i="18"/>
  <c r="F234" i="18"/>
  <c r="F235" i="18"/>
  <c r="F236" i="18"/>
  <c r="F237" i="18"/>
  <c r="F238" i="18"/>
  <c r="F239" i="18"/>
  <c r="F240" i="18"/>
  <c r="F241" i="18"/>
  <c r="F242" i="18"/>
  <c r="F243" i="18"/>
  <c r="F244" i="18"/>
  <c r="F245" i="18"/>
  <c r="F246" i="18"/>
  <c r="F247" i="18"/>
  <c r="F248" i="18"/>
  <c r="F249" i="18"/>
  <c r="F250" i="18"/>
  <c r="F251" i="18"/>
  <c r="F252" i="18"/>
  <c r="F253" i="18"/>
  <c r="F254" i="18"/>
  <c r="F255" i="18"/>
  <c r="F256" i="18"/>
  <c r="F257" i="18"/>
  <c r="F258" i="18"/>
  <c r="F259" i="18"/>
  <c r="F260" i="18"/>
  <c r="F261" i="18"/>
  <c r="F6" i="18"/>
  <c r="G7" i="18"/>
  <c r="G8" i="18"/>
  <c r="G9" i="18"/>
  <c r="G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41" i="18"/>
  <c r="G42" i="18"/>
  <c r="G43" i="18"/>
  <c r="G44" i="18"/>
  <c r="G45" i="18"/>
  <c r="G46" i="18"/>
  <c r="G47" i="18"/>
  <c r="G48" i="18"/>
  <c r="G49" i="18"/>
  <c r="G50" i="18"/>
  <c r="G51" i="18"/>
  <c r="G52" i="18"/>
  <c r="G53" i="18"/>
  <c r="G54" i="18"/>
  <c r="G55" i="18"/>
  <c r="G56" i="18"/>
  <c r="G57" i="18"/>
  <c r="G58" i="18"/>
  <c r="G59" i="18"/>
  <c r="G60" i="18"/>
  <c r="G61" i="18"/>
  <c r="G62" i="18"/>
  <c r="G63" i="18"/>
  <c r="G64" i="18"/>
  <c r="G65" i="18"/>
  <c r="G66" i="18"/>
  <c r="G67" i="18"/>
  <c r="G68" i="18"/>
  <c r="G69" i="18"/>
  <c r="G70" i="18"/>
  <c r="G71" i="18"/>
  <c r="G72" i="18"/>
  <c r="G73" i="18"/>
  <c r="G74" i="18"/>
  <c r="G75" i="18"/>
  <c r="G76" i="18"/>
  <c r="G77" i="18"/>
  <c r="G78" i="18"/>
  <c r="G79" i="18"/>
  <c r="G80" i="18"/>
  <c r="G81" i="18"/>
  <c r="G82" i="18"/>
  <c r="G83" i="18"/>
  <c r="G84" i="18"/>
  <c r="G85" i="18"/>
  <c r="G86" i="18"/>
  <c r="G87" i="18"/>
  <c r="G88" i="18"/>
  <c r="G89" i="18"/>
  <c r="G90" i="18"/>
  <c r="G91" i="18"/>
  <c r="G92" i="18"/>
  <c r="G93" i="18"/>
  <c r="G94" i="18"/>
  <c r="G95" i="18"/>
  <c r="G96" i="18"/>
  <c r="G97" i="18"/>
  <c r="G98" i="18"/>
  <c r="G99" i="18"/>
  <c r="G100" i="18"/>
  <c r="G101" i="18"/>
  <c r="G102" i="18"/>
  <c r="G103" i="18"/>
  <c r="G104" i="18"/>
  <c r="G105" i="18"/>
  <c r="G106" i="18"/>
  <c r="G107" i="18"/>
  <c r="G108" i="18"/>
  <c r="G109" i="18"/>
  <c r="G110" i="18"/>
  <c r="G111" i="18"/>
  <c r="G112" i="18"/>
  <c r="G113" i="18"/>
  <c r="G114" i="18"/>
  <c r="G115" i="18"/>
  <c r="G116" i="18"/>
  <c r="G117" i="18"/>
  <c r="G118" i="18"/>
  <c r="G119" i="18"/>
  <c r="G120" i="18"/>
  <c r="G121" i="18"/>
  <c r="G122" i="18"/>
  <c r="G123" i="18"/>
  <c r="G124" i="18"/>
  <c r="G125" i="18"/>
  <c r="G126" i="18"/>
  <c r="G127" i="18"/>
  <c r="G128" i="18"/>
  <c r="G129" i="18"/>
  <c r="G130" i="18"/>
  <c r="G131" i="18"/>
  <c r="G132" i="18"/>
  <c r="G133" i="18"/>
  <c r="G134" i="18"/>
  <c r="G135" i="18"/>
  <c r="G136" i="18"/>
  <c r="G137" i="18"/>
  <c r="G138" i="18"/>
  <c r="G139" i="18"/>
  <c r="G140" i="18"/>
  <c r="G141" i="18"/>
  <c r="G142" i="18"/>
  <c r="G143" i="18"/>
  <c r="G144" i="18"/>
  <c r="G145" i="18"/>
  <c r="G146" i="18"/>
  <c r="G147" i="18"/>
  <c r="G148" i="18"/>
  <c r="G149" i="18"/>
  <c r="G150" i="18"/>
  <c r="G151" i="18"/>
  <c r="G152" i="18"/>
  <c r="G153" i="18"/>
  <c r="G154" i="18"/>
  <c r="G155" i="18"/>
  <c r="G156" i="18"/>
  <c r="G157" i="18"/>
  <c r="G158" i="18"/>
  <c r="G159" i="18"/>
  <c r="G160" i="18"/>
  <c r="G161" i="18"/>
  <c r="G162" i="18"/>
  <c r="G163" i="18"/>
  <c r="G164" i="18"/>
  <c r="G165" i="18"/>
  <c r="G166" i="18"/>
  <c r="G167" i="18"/>
  <c r="G168" i="18"/>
  <c r="G169" i="18"/>
  <c r="G170" i="18"/>
  <c r="G171" i="18"/>
  <c r="G172" i="18"/>
  <c r="G173" i="18"/>
  <c r="G174" i="18"/>
  <c r="G175" i="18"/>
  <c r="G176" i="18"/>
  <c r="G177" i="18"/>
  <c r="G178" i="18"/>
  <c r="G179" i="18"/>
  <c r="G180" i="18"/>
  <c r="G181" i="18"/>
  <c r="G182" i="18"/>
  <c r="G183" i="18"/>
  <c r="G184" i="18"/>
  <c r="G185" i="18"/>
  <c r="G186" i="18"/>
  <c r="G187" i="18"/>
  <c r="G188" i="18"/>
  <c r="G189" i="18"/>
  <c r="G190" i="18"/>
  <c r="G191" i="18"/>
  <c r="G192" i="18"/>
  <c r="G193" i="18"/>
  <c r="G194" i="18"/>
  <c r="G195" i="18"/>
  <c r="G196" i="18"/>
  <c r="G197" i="18"/>
  <c r="G198" i="18"/>
  <c r="G199" i="18"/>
  <c r="G200" i="18"/>
  <c r="G201" i="18"/>
  <c r="G202" i="18"/>
  <c r="G203" i="18"/>
  <c r="G204" i="18"/>
  <c r="G205" i="18"/>
  <c r="G206" i="18"/>
  <c r="G207" i="18"/>
  <c r="G208" i="18"/>
  <c r="G209" i="18"/>
  <c r="G210" i="18"/>
  <c r="G211" i="18"/>
  <c r="G212" i="18"/>
  <c r="G213" i="18"/>
  <c r="G214" i="18"/>
  <c r="G215" i="18"/>
  <c r="G216" i="18"/>
  <c r="G217" i="18"/>
  <c r="G218" i="18"/>
  <c r="G219" i="18"/>
  <c r="G220" i="18"/>
  <c r="G221" i="18"/>
  <c r="G222" i="18"/>
  <c r="G223" i="18"/>
  <c r="G224" i="18"/>
  <c r="G225" i="18"/>
  <c r="G226" i="18"/>
  <c r="G227" i="18"/>
  <c r="G228" i="18"/>
  <c r="G229" i="18"/>
  <c r="G230" i="18"/>
  <c r="G231" i="18"/>
  <c r="G232" i="18"/>
  <c r="G233" i="18"/>
  <c r="G234" i="18"/>
  <c r="G235" i="18"/>
  <c r="G236" i="18"/>
  <c r="G237" i="18"/>
  <c r="G238" i="18"/>
  <c r="G239" i="18"/>
  <c r="G240" i="18"/>
  <c r="G241" i="18"/>
  <c r="G242" i="18"/>
  <c r="G243" i="18"/>
  <c r="G244" i="18"/>
  <c r="G245" i="18"/>
  <c r="G246" i="18"/>
  <c r="G247" i="18"/>
  <c r="G248" i="18"/>
  <c r="G249" i="18"/>
  <c r="G250" i="18"/>
  <c r="G251" i="18"/>
  <c r="G252" i="18"/>
  <c r="G253" i="18"/>
  <c r="G254" i="18"/>
  <c r="G255" i="18"/>
  <c r="G256" i="18"/>
  <c r="G257" i="18"/>
  <c r="G258" i="18"/>
  <c r="G259" i="18"/>
  <c r="G260" i="18"/>
  <c r="G261" i="18"/>
  <c r="G6" i="18"/>
  <c r="Q150" i="23" l="1"/>
  <c r="L262" i="18"/>
  <c r="G262" i="18"/>
  <c r="F262" i="18"/>
  <c r="A7" i="18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K44" i="15" l="1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30" i="15"/>
  <c r="K29" i="15"/>
  <c r="K25" i="15"/>
  <c r="K24" i="15"/>
  <c r="K23" i="15"/>
  <c r="K22" i="15"/>
  <c r="K21" i="15"/>
  <c r="K20" i="15"/>
  <c r="K19" i="15"/>
  <c r="M44" i="15"/>
  <c r="M43" i="15"/>
  <c r="M42" i="15"/>
  <c r="M41" i="15"/>
  <c r="M40" i="15"/>
  <c r="M39" i="15"/>
  <c r="M38" i="15"/>
  <c r="M37" i="15"/>
  <c r="M36" i="15"/>
  <c r="M35" i="15"/>
  <c r="M34" i="15"/>
  <c r="M33" i="15"/>
  <c r="M32" i="15"/>
  <c r="M31" i="15"/>
  <c r="M30" i="15"/>
  <c r="M29" i="15"/>
  <c r="M28" i="15"/>
  <c r="M25" i="15"/>
  <c r="M24" i="15"/>
  <c r="M23" i="15"/>
  <c r="M22" i="15"/>
  <c r="M21" i="15"/>
  <c r="M20" i="15"/>
  <c r="M19" i="15"/>
  <c r="M18" i="15"/>
  <c r="K18" i="15"/>
  <c r="J46" i="15"/>
  <c r="L46" i="15"/>
  <c r="J9" i="15" l="1"/>
  <c r="F9" i="21" s="1"/>
  <c r="K46" i="15"/>
  <c r="M46" i="15"/>
  <c r="K8" i="13" l="1"/>
  <c r="K9" i="13" s="1"/>
  <c r="G10" i="13"/>
  <c r="B19" i="15" l="1"/>
  <c r="B20" i="15" s="1"/>
  <c r="B21" i="15" s="1"/>
  <c r="B22" i="15" s="1"/>
  <c r="B23" i="15" s="1"/>
  <c r="B24" i="15" s="1"/>
  <c r="B25" i="15" s="1"/>
  <c r="F7" i="21"/>
  <c r="B29" i="15" l="1"/>
  <c r="B30" i="15" s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B41" i="15" s="1"/>
  <c r="B42" i="15" s="1"/>
  <c r="B43" i="15" s="1"/>
  <c r="B44" i="15" s="1"/>
  <c r="K29" i="17" l="1"/>
  <c r="F29" i="17"/>
  <c r="J26" i="17"/>
  <c r="K24" i="17" s="1"/>
  <c r="E26" i="17"/>
  <c r="F24" i="17" s="1"/>
  <c r="I20" i="17"/>
  <c r="J20" i="17" s="1"/>
  <c r="I15" i="17"/>
  <c r="J15" i="17" s="1"/>
  <c r="I14" i="17"/>
  <c r="J14" i="17" s="1"/>
  <c r="E14" i="17"/>
  <c r="I13" i="17"/>
  <c r="J13" i="17" s="1"/>
  <c r="E13" i="17"/>
  <c r="I12" i="17"/>
  <c r="J12" i="17" s="1"/>
  <c r="D12" i="17"/>
  <c r="E12" i="17" s="1"/>
  <c r="I11" i="17"/>
  <c r="J11" i="17" s="1"/>
  <c r="I9" i="17"/>
  <c r="J9" i="17" s="1"/>
  <c r="I8" i="17"/>
  <c r="J8" i="17" s="1"/>
  <c r="I5" i="17"/>
  <c r="J5" i="17" s="1"/>
  <c r="I4" i="17"/>
  <c r="J4" i="17" s="1"/>
  <c r="I18" i="17" l="1"/>
  <c r="I19" i="17" l="1"/>
  <c r="I21" i="17"/>
  <c r="J18" i="17"/>
  <c r="M11" i="9" l="1"/>
  <c r="N7" i="16"/>
  <c r="I7" i="16"/>
  <c r="H7" i="16"/>
  <c r="F7" i="16"/>
  <c r="E7" i="16"/>
  <c r="N6" i="16"/>
  <c r="I6" i="16"/>
  <c r="H6" i="16"/>
  <c r="N5" i="16"/>
  <c r="H5" i="16"/>
  <c r="K3" i="16"/>
  <c r="H3" i="16"/>
  <c r="G3" i="16"/>
  <c r="F3" i="16"/>
  <c r="E3" i="16"/>
  <c r="C3" i="16"/>
  <c r="B3" i="16"/>
  <c r="K4" i="15"/>
  <c r="O46" i="15" l="1"/>
  <c r="G7" i="16"/>
  <c r="J7" i="16" s="1"/>
  <c r="E5" i="16"/>
  <c r="K7" i="15"/>
  <c r="E6" i="16" l="1"/>
  <c r="F5" i="16"/>
  <c r="F6" i="16"/>
  <c r="G6" i="16" l="1"/>
  <c r="J6" i="16" s="1"/>
  <c r="G5" i="16"/>
  <c r="J5" i="16" s="1"/>
  <c r="K9" i="15" l="1"/>
  <c r="D6" i="16" l="1"/>
  <c r="D5" i="16" l="1"/>
  <c r="D7" i="16" l="1"/>
  <c r="D15" i="17" l="1"/>
  <c r="E15" i="17" s="1"/>
  <c r="D5" i="17" l="1"/>
  <c r="E5" i="17" s="1"/>
  <c r="D9" i="17" l="1"/>
  <c r="E9" i="17" s="1"/>
  <c r="D11" i="17" l="1"/>
  <c r="E11" i="17" s="1"/>
  <c r="D4" i="17"/>
  <c r="D6" i="17" l="1"/>
  <c r="E6" i="17" s="1"/>
  <c r="E4" i="17"/>
  <c r="D20" i="17" l="1"/>
  <c r="E20" i="17" s="1"/>
  <c r="K6" i="16" l="1"/>
  <c r="K5" i="16"/>
  <c r="M7" i="16" l="1"/>
  <c r="M5" i="16"/>
  <c r="M6" i="16"/>
  <c r="L6" i="16"/>
  <c r="L5" i="16"/>
  <c r="L7" i="16"/>
  <c r="K7" i="16"/>
  <c r="F10" i="13"/>
  <c r="D16" i="17" l="1"/>
  <c r="D8" i="17"/>
  <c r="E8" i="17" s="1"/>
  <c r="D18" i="17" l="1"/>
  <c r="E16" i="17"/>
  <c r="D19" i="17" l="1"/>
  <c r="E18" i="17"/>
  <c r="D21" i="17" s="1"/>
  <c r="F12" i="21" l="1"/>
  <c r="F8" i="21"/>
  <c r="K8" i="15"/>
  <c r="R27" i="15" l="1"/>
  <c r="K10" i="15"/>
  <c r="S27" i="15" l="1"/>
  <c r="Y27" i="15" s="1"/>
  <c r="F11" i="21"/>
  <c r="R26" i="15"/>
  <c r="R43" i="15"/>
  <c r="I65" i="18"/>
  <c r="J65" i="18" s="1"/>
  <c r="R21" i="15"/>
  <c r="R36" i="15"/>
  <c r="I22" i="18" s="1"/>
  <c r="J22" i="18" s="1"/>
  <c r="R31" i="15"/>
  <c r="R37" i="15"/>
  <c r="R42" i="15"/>
  <c r="R19" i="15"/>
  <c r="I173" i="18"/>
  <c r="J173" i="18" s="1"/>
  <c r="R28" i="15"/>
  <c r="I14" i="18" s="1"/>
  <c r="J14" i="18" s="1"/>
  <c r="I164" i="18"/>
  <c r="J164" i="18" s="1"/>
  <c r="I198" i="18"/>
  <c r="J198" i="18" s="1"/>
  <c r="R20" i="15"/>
  <c r="I229" i="18"/>
  <c r="J229" i="18" s="1"/>
  <c r="I203" i="18"/>
  <c r="J203" i="18" s="1"/>
  <c r="I176" i="18"/>
  <c r="J176" i="18" s="1"/>
  <c r="R30" i="15"/>
  <c r="S30" i="15" s="1"/>
  <c r="I133" i="18"/>
  <c r="J133" i="18" s="1"/>
  <c r="I44" i="18"/>
  <c r="J44" i="18" s="1"/>
  <c r="R35" i="15"/>
  <c r="R39" i="15"/>
  <c r="R32" i="15"/>
  <c r="S32" i="15" s="1"/>
  <c r="Y32" i="15" s="1"/>
  <c r="I62" i="18"/>
  <c r="J62" i="18" s="1"/>
  <c r="I116" i="18"/>
  <c r="J116" i="18" s="1"/>
  <c r="R34" i="15"/>
  <c r="I184" i="18"/>
  <c r="J184" i="18" s="1"/>
  <c r="R41" i="15"/>
  <c r="S41" i="15" s="1"/>
  <c r="Y41" i="15" s="1"/>
  <c r="R23" i="15"/>
  <c r="S23" i="15" s="1"/>
  <c r="Y23" i="15" s="1"/>
  <c r="R29" i="15"/>
  <c r="I15" i="18" s="1"/>
  <c r="J15" i="18" s="1"/>
  <c r="R25" i="15"/>
  <c r="R40" i="15"/>
  <c r="S40" i="15" s="1"/>
  <c r="Y40" i="15" s="1"/>
  <c r="I84" i="18"/>
  <c r="J84" i="18" s="1"/>
  <c r="R33" i="15"/>
  <c r="S33" i="15" s="1"/>
  <c r="Y33" i="15" s="1"/>
  <c r="I259" i="18"/>
  <c r="J259" i="18" s="1"/>
  <c r="I165" i="18"/>
  <c r="J165" i="18" s="1"/>
  <c r="I132" i="18"/>
  <c r="J132" i="18" s="1"/>
  <c r="R24" i="15"/>
  <c r="S24" i="15" s="1"/>
  <c r="Y24" i="15" s="1"/>
  <c r="R18" i="15"/>
  <c r="I6" i="18" s="1"/>
  <c r="I72" i="18"/>
  <c r="J72" i="18" s="1"/>
  <c r="I115" i="18"/>
  <c r="J115" i="18" s="1"/>
  <c r="I246" i="18"/>
  <c r="J246" i="18" s="1"/>
  <c r="R44" i="15"/>
  <c r="S44" i="15" s="1"/>
  <c r="Y44" i="15" s="1"/>
  <c r="I242" i="18"/>
  <c r="J242" i="18" s="1"/>
  <c r="I180" i="18"/>
  <c r="J180" i="18" s="1"/>
  <c r="I101" i="18"/>
  <c r="J101" i="18" s="1"/>
  <c r="R38" i="15"/>
  <c r="S38" i="15" s="1"/>
  <c r="R22" i="15"/>
  <c r="S22" i="15" s="1"/>
  <c r="Y22" i="15" s="1"/>
  <c r="I107" i="18"/>
  <c r="J107" i="18" s="1"/>
  <c r="I61" i="18"/>
  <c r="J61" i="18" s="1"/>
  <c r="I257" i="18"/>
  <c r="J257" i="18" s="1"/>
  <c r="I211" i="18"/>
  <c r="J211" i="18" s="1"/>
  <c r="I226" i="18"/>
  <c r="J226" i="18" s="1"/>
  <c r="I97" i="18"/>
  <c r="J97" i="18" s="1"/>
  <c r="I178" i="18"/>
  <c r="J178" i="18" s="1"/>
  <c r="I108" i="18"/>
  <c r="J108" i="18" s="1"/>
  <c r="I169" i="18"/>
  <c r="J169" i="18" s="1"/>
  <c r="I252" i="18"/>
  <c r="J252" i="18" s="1"/>
  <c r="I217" i="18"/>
  <c r="J217" i="18" s="1"/>
  <c r="I219" i="18"/>
  <c r="J219" i="18" s="1"/>
  <c r="I129" i="18"/>
  <c r="J129" i="18" s="1"/>
  <c r="I243" i="18"/>
  <c r="J243" i="18" s="1"/>
  <c r="I130" i="18"/>
  <c r="J130" i="18" s="1"/>
  <c r="I155" i="18"/>
  <c r="J155" i="18" s="1"/>
  <c r="I127" i="18"/>
  <c r="J127" i="18" s="1"/>
  <c r="I109" i="18"/>
  <c r="J109" i="18" s="1"/>
  <c r="I91" i="18"/>
  <c r="J91" i="18" s="1"/>
  <c r="I249" i="18"/>
  <c r="J249" i="18" s="1"/>
  <c r="I148" i="18"/>
  <c r="J148" i="18" s="1"/>
  <c r="I92" i="18"/>
  <c r="J92" i="18" s="1"/>
  <c r="I93" i="18"/>
  <c r="J93" i="18" s="1"/>
  <c r="I244" i="18"/>
  <c r="J244" i="18" s="1"/>
  <c r="I111" i="18"/>
  <c r="J111" i="18" s="1"/>
  <c r="I202" i="18"/>
  <c r="J202" i="18" s="1"/>
  <c r="I121" i="18"/>
  <c r="J121" i="18" s="1"/>
  <c r="I228" i="18"/>
  <c r="J228" i="18" s="1"/>
  <c r="I237" i="18"/>
  <c r="J237" i="18" s="1"/>
  <c r="I112" i="18"/>
  <c r="J112" i="18" s="1"/>
  <c r="I221" i="18"/>
  <c r="J221" i="18" s="1"/>
  <c r="I118" i="18"/>
  <c r="J118" i="18" s="1"/>
  <c r="I157" i="18"/>
  <c r="J157" i="18" s="1"/>
  <c r="I207" i="18"/>
  <c r="J207" i="18" s="1"/>
  <c r="I105" i="18"/>
  <c r="J105" i="18" s="1"/>
  <c r="I230" i="18"/>
  <c r="J230" i="18" s="1"/>
  <c r="I138" i="18"/>
  <c r="J138" i="18" s="1"/>
  <c r="I251" i="18"/>
  <c r="J251" i="18" s="1"/>
  <c r="I117" i="18"/>
  <c r="J117" i="18" s="1"/>
  <c r="I248" i="18"/>
  <c r="J248" i="18" s="1"/>
  <c r="I144" i="18"/>
  <c r="J144" i="18" s="1"/>
  <c r="I153" i="18"/>
  <c r="J153" i="18" s="1"/>
  <c r="I137" i="18"/>
  <c r="J137" i="18" s="1"/>
  <c r="I159" i="18"/>
  <c r="J159" i="18" s="1"/>
  <c r="I171" i="18"/>
  <c r="J171" i="18" s="1"/>
  <c r="I200" i="18"/>
  <c r="J200" i="18" s="1"/>
  <c r="I189" i="18"/>
  <c r="J189" i="18" s="1"/>
  <c r="I196" i="18"/>
  <c r="J196" i="18" s="1"/>
  <c r="I234" i="18"/>
  <c r="J234" i="18" s="1"/>
  <c r="I199" i="18"/>
  <c r="J199" i="18" s="1"/>
  <c r="I139" i="18"/>
  <c r="J139" i="18" s="1"/>
  <c r="I114" i="18"/>
  <c r="J114" i="18" s="1"/>
  <c r="I95" i="18"/>
  <c r="J95" i="18" s="1"/>
  <c r="I147" i="18"/>
  <c r="J147" i="18" s="1"/>
  <c r="I126" i="18"/>
  <c r="J126" i="18" s="1"/>
  <c r="I141" i="18"/>
  <c r="J141" i="18" s="1"/>
  <c r="I102" i="18"/>
  <c r="J102" i="18" s="1"/>
  <c r="I96" i="18"/>
  <c r="J96" i="18" s="1"/>
  <c r="I150" i="18"/>
  <c r="J150" i="18" s="1"/>
  <c r="I258" i="18"/>
  <c r="J258" i="18" s="1"/>
  <c r="I104" i="18"/>
  <c r="J104" i="18" s="1"/>
  <c r="I181" i="18"/>
  <c r="J181" i="18" s="1"/>
  <c r="I160" i="18"/>
  <c r="J160" i="18" s="1"/>
  <c r="I120" i="18"/>
  <c r="J120" i="18" s="1"/>
  <c r="I212" i="18"/>
  <c r="J212" i="18" s="1"/>
  <c r="I170" i="18"/>
  <c r="J170" i="18" s="1"/>
  <c r="I238" i="18"/>
  <c r="J238" i="18" s="1"/>
  <c r="I161" i="18"/>
  <c r="J161" i="18" s="1"/>
  <c r="I124" i="18"/>
  <c r="J124" i="18" s="1"/>
  <c r="I183" i="18"/>
  <c r="J183" i="18" s="1"/>
  <c r="I232" i="18"/>
  <c r="J232" i="18" s="1"/>
  <c r="I250" i="18"/>
  <c r="J250" i="18" s="1"/>
  <c r="I122" i="18"/>
  <c r="J122" i="18" s="1"/>
  <c r="I213" i="18"/>
  <c r="J213" i="18" s="1"/>
  <c r="I103" i="18"/>
  <c r="J103" i="18" s="1"/>
  <c r="I236" i="18"/>
  <c r="J236" i="18" s="1"/>
  <c r="I168" i="18"/>
  <c r="J168" i="18" s="1"/>
  <c r="I163" i="18"/>
  <c r="J163" i="18" s="1"/>
  <c r="I210" i="18"/>
  <c r="J210" i="18" s="1"/>
  <c r="I241" i="18"/>
  <c r="J241" i="18" s="1"/>
  <c r="I191" i="18"/>
  <c r="J191" i="18" s="1"/>
  <c r="I255" i="18"/>
  <c r="J255" i="18" s="1"/>
  <c r="I134" i="18"/>
  <c r="J134" i="18" s="1"/>
  <c r="I220" i="18"/>
  <c r="J220" i="18" s="1"/>
  <c r="I145" i="18"/>
  <c r="J145" i="18" s="1"/>
  <c r="I222" i="18"/>
  <c r="J222" i="18" s="1"/>
  <c r="I177" i="18"/>
  <c r="J177" i="18" s="1"/>
  <c r="I215" i="18"/>
  <c r="J215" i="18" s="1"/>
  <c r="S20" i="15" l="1"/>
  <c r="Y20" i="15" s="1"/>
  <c r="U28" i="15"/>
  <c r="I55" i="18"/>
  <c r="J55" i="18" s="1"/>
  <c r="W27" i="15"/>
  <c r="U27" i="15"/>
  <c r="Z27" i="15" s="1"/>
  <c r="S28" i="15"/>
  <c r="Y28" i="15" s="1"/>
  <c r="S36" i="15"/>
  <c r="Y36" i="15" s="1"/>
  <c r="S26" i="15"/>
  <c r="Y26" i="15" s="1"/>
  <c r="I63" i="18"/>
  <c r="J63" i="18" s="1"/>
  <c r="S21" i="15"/>
  <c r="Y21" i="15" s="1"/>
  <c r="S43" i="15"/>
  <c r="Y43" i="15" s="1"/>
  <c r="U43" i="15"/>
  <c r="I49" i="18"/>
  <c r="J49" i="18" s="1"/>
  <c r="S37" i="15"/>
  <c r="Y37" i="15" s="1"/>
  <c r="I48" i="18"/>
  <c r="J48" i="18" s="1"/>
  <c r="S31" i="15"/>
  <c r="Y31" i="15" s="1"/>
  <c r="I80" i="18"/>
  <c r="J80" i="18" s="1"/>
  <c r="I53" i="18"/>
  <c r="J53" i="18" s="1"/>
  <c r="U25" i="15"/>
  <c r="U37" i="15"/>
  <c r="I85" i="18"/>
  <c r="J85" i="18" s="1"/>
  <c r="I51" i="18"/>
  <c r="J51" i="18" s="1"/>
  <c r="I13" i="18"/>
  <c r="J13" i="18" s="1"/>
  <c r="I23" i="18"/>
  <c r="J23" i="18" s="1"/>
  <c r="Y38" i="15"/>
  <c r="I27" i="18"/>
  <c r="J27" i="18" s="1"/>
  <c r="I42" i="18"/>
  <c r="J42" i="18" s="1"/>
  <c r="S25" i="15"/>
  <c r="Y25" i="15" s="1"/>
  <c r="I58" i="18"/>
  <c r="J58" i="18" s="1"/>
  <c r="I17" i="18"/>
  <c r="J17" i="18" s="1"/>
  <c r="I9" i="18"/>
  <c r="J9" i="18" s="1"/>
  <c r="S19" i="15"/>
  <c r="Y19" i="15" s="1"/>
  <c r="I29" i="18"/>
  <c r="J29" i="18" s="1"/>
  <c r="S29" i="15"/>
  <c r="Y29" i="15" s="1"/>
  <c r="I7" i="18"/>
  <c r="J7" i="18" s="1"/>
  <c r="I56" i="18"/>
  <c r="J56" i="18" s="1"/>
  <c r="I8" i="18"/>
  <c r="J8" i="18" s="1"/>
  <c r="I76" i="18"/>
  <c r="J76" i="18" s="1"/>
  <c r="I69" i="18"/>
  <c r="J69" i="18" s="1"/>
  <c r="I46" i="18"/>
  <c r="J46" i="18" s="1"/>
  <c r="I25" i="18"/>
  <c r="J25" i="18" s="1"/>
  <c r="S42" i="15"/>
  <c r="Y42" i="15" s="1"/>
  <c r="U22" i="15"/>
  <c r="Z22" i="15" s="1"/>
  <c r="S39" i="15"/>
  <c r="Y39" i="15" s="1"/>
  <c r="I11" i="18"/>
  <c r="J11" i="18" s="1"/>
  <c r="I21" i="18"/>
  <c r="J21" i="18" s="1"/>
  <c r="I67" i="18"/>
  <c r="J67" i="18" s="1"/>
  <c r="I28" i="18"/>
  <c r="J28" i="18" s="1"/>
  <c r="S35" i="15"/>
  <c r="Y35" i="15" s="1"/>
  <c r="I82" i="18"/>
  <c r="J82" i="18" s="1"/>
  <c r="I73" i="18"/>
  <c r="J73" i="18" s="1"/>
  <c r="I50" i="18"/>
  <c r="J50" i="18" s="1"/>
  <c r="I59" i="18"/>
  <c r="J59" i="18" s="1"/>
  <c r="I186" i="18"/>
  <c r="J186" i="18" s="1"/>
  <c r="I131" i="18"/>
  <c r="J131" i="18" s="1"/>
  <c r="I64" i="18"/>
  <c r="J64" i="18" s="1"/>
  <c r="I54" i="18"/>
  <c r="J54" i="18" s="1"/>
  <c r="I154" i="18"/>
  <c r="J154" i="18" s="1"/>
  <c r="I45" i="18"/>
  <c r="J45" i="18" s="1"/>
  <c r="I52" i="18"/>
  <c r="J52" i="18" s="1"/>
  <c r="I26" i="18"/>
  <c r="J26" i="18" s="1"/>
  <c r="I227" i="18"/>
  <c r="J227" i="18" s="1"/>
  <c r="I179" i="18"/>
  <c r="J179" i="18" s="1"/>
  <c r="I30" i="18"/>
  <c r="J30" i="18" s="1"/>
  <c r="I78" i="18"/>
  <c r="J78" i="18" s="1"/>
  <c r="I87" i="18"/>
  <c r="J87" i="18" s="1"/>
  <c r="I206" i="18"/>
  <c r="J206" i="18" s="1"/>
  <c r="I74" i="18"/>
  <c r="J74" i="18" s="1"/>
  <c r="I90" i="18"/>
  <c r="J90" i="18" s="1"/>
  <c r="I136" i="18"/>
  <c r="J136" i="18" s="1"/>
  <c r="I68" i="18"/>
  <c r="J68" i="18" s="1"/>
  <c r="I94" i="18"/>
  <c r="J94" i="18" s="1"/>
  <c r="I146" i="18"/>
  <c r="J146" i="18" s="1"/>
  <c r="I253" i="18"/>
  <c r="J253" i="18" s="1"/>
  <c r="I41" i="18"/>
  <c r="J41" i="18" s="1"/>
  <c r="I143" i="18"/>
  <c r="J143" i="18" s="1"/>
  <c r="I195" i="18"/>
  <c r="J195" i="18" s="1"/>
  <c r="I218" i="18"/>
  <c r="J218" i="18" s="1"/>
  <c r="I240" i="18"/>
  <c r="J240" i="18" s="1"/>
  <c r="I224" i="18"/>
  <c r="J224" i="18" s="1"/>
  <c r="I16" i="18"/>
  <c r="J16" i="18" s="1"/>
  <c r="I32" i="18"/>
  <c r="J32" i="18" s="1"/>
  <c r="I83" i="18"/>
  <c r="J83" i="18" s="1"/>
  <c r="I214" i="18"/>
  <c r="J214" i="18" s="1"/>
  <c r="I233" i="18"/>
  <c r="J233" i="18" s="1"/>
  <c r="I100" i="18"/>
  <c r="J100" i="18" s="1"/>
  <c r="I20" i="18"/>
  <c r="J20" i="18" s="1"/>
  <c r="I167" i="18"/>
  <c r="J167" i="18" s="1"/>
  <c r="I119" i="18"/>
  <c r="J119" i="18" s="1"/>
  <c r="I79" i="18"/>
  <c r="J79" i="18" s="1"/>
  <c r="I140" i="18"/>
  <c r="J140" i="18" s="1"/>
  <c r="I223" i="18"/>
  <c r="J223" i="18" s="1"/>
  <c r="I208" i="18"/>
  <c r="J208" i="18" s="1"/>
  <c r="I142" i="18"/>
  <c r="J142" i="18" s="1"/>
  <c r="I197" i="18"/>
  <c r="J197" i="18" s="1"/>
  <c r="I254" i="18"/>
  <c r="J254" i="18" s="1"/>
  <c r="I166" i="18"/>
  <c r="J166" i="18" s="1"/>
  <c r="I239" i="18"/>
  <c r="J239" i="18" s="1"/>
  <c r="I261" i="18"/>
  <c r="J261" i="18" s="1"/>
  <c r="U30" i="15"/>
  <c r="Y30" i="15"/>
  <c r="I86" i="18"/>
  <c r="J86" i="18" s="1"/>
  <c r="I113" i="18"/>
  <c r="J113" i="18" s="1"/>
  <c r="I260" i="18"/>
  <c r="J260" i="18" s="1"/>
  <c r="I70" i="18"/>
  <c r="J70" i="18" s="1"/>
  <c r="I34" i="18"/>
  <c r="J34" i="18" s="1"/>
  <c r="I89" i="18"/>
  <c r="J89" i="18" s="1"/>
  <c r="I60" i="18"/>
  <c r="J60" i="18" s="1"/>
  <c r="I71" i="18"/>
  <c r="J71" i="18" s="1"/>
  <c r="I182" i="18"/>
  <c r="J182" i="18" s="1"/>
  <c r="S34" i="15"/>
  <c r="Y34" i="15" s="1"/>
  <c r="I12" i="18"/>
  <c r="J12" i="18" s="1"/>
  <c r="I204" i="18"/>
  <c r="J204" i="18" s="1"/>
  <c r="I110" i="18"/>
  <c r="J110" i="18" s="1"/>
  <c r="I39" i="18"/>
  <c r="J39" i="18" s="1"/>
  <c r="I216" i="18"/>
  <c r="J216" i="18" s="1"/>
  <c r="I205" i="18"/>
  <c r="J205" i="18" s="1"/>
  <c r="I156" i="18"/>
  <c r="J156" i="18" s="1"/>
  <c r="I37" i="18"/>
  <c r="J37" i="18" s="1"/>
  <c r="I81" i="18"/>
  <c r="J81" i="18" s="1"/>
  <c r="I185" i="18"/>
  <c r="J185" i="18" s="1"/>
  <c r="I152" i="18"/>
  <c r="J152" i="18" s="1"/>
  <c r="I18" i="18"/>
  <c r="J18" i="18" s="1"/>
  <c r="I128" i="18"/>
  <c r="J128" i="18" s="1"/>
  <c r="U24" i="15"/>
  <c r="Z24" i="15" s="1"/>
  <c r="I10" i="18"/>
  <c r="J10" i="18" s="1"/>
  <c r="I175" i="18"/>
  <c r="J175" i="18" s="1"/>
  <c r="I174" i="18"/>
  <c r="J174" i="18" s="1"/>
  <c r="I19" i="18"/>
  <c r="J19" i="18" s="1"/>
  <c r="I40" i="18"/>
  <c r="J40" i="18" s="1"/>
  <c r="I247" i="18"/>
  <c r="J247" i="18" s="1"/>
  <c r="I31" i="18"/>
  <c r="J31" i="18" s="1"/>
  <c r="I75" i="18"/>
  <c r="J75" i="18" s="1"/>
  <c r="I77" i="18"/>
  <c r="J77" i="18" s="1"/>
  <c r="I187" i="18"/>
  <c r="J187" i="18" s="1"/>
  <c r="I98" i="18"/>
  <c r="J98" i="18" s="1"/>
  <c r="I47" i="18"/>
  <c r="J47" i="18" s="1"/>
  <c r="I66" i="18"/>
  <c r="J66" i="18" s="1"/>
  <c r="I225" i="18"/>
  <c r="J225" i="18" s="1"/>
  <c r="I35" i="18"/>
  <c r="J35" i="18" s="1"/>
  <c r="I162" i="18"/>
  <c r="J162" i="18" s="1"/>
  <c r="I194" i="18"/>
  <c r="J194" i="18" s="1"/>
  <c r="I43" i="18"/>
  <c r="J43" i="18" s="1"/>
  <c r="I190" i="18"/>
  <c r="J190" i="18" s="1"/>
  <c r="I245" i="18"/>
  <c r="J245" i="18" s="1"/>
  <c r="I193" i="18"/>
  <c r="J193" i="18" s="1"/>
  <c r="I125" i="18"/>
  <c r="J125" i="18" s="1"/>
  <c r="I172" i="18"/>
  <c r="J172" i="18" s="1"/>
  <c r="I209" i="18"/>
  <c r="J209" i="18" s="1"/>
  <c r="I106" i="18"/>
  <c r="J106" i="18" s="1"/>
  <c r="I38" i="18"/>
  <c r="J38" i="18" s="1"/>
  <c r="S18" i="15"/>
  <c r="Y18" i="15" s="1"/>
  <c r="I135" i="18"/>
  <c r="J135" i="18" s="1"/>
  <c r="I188" i="18"/>
  <c r="J188" i="18" s="1"/>
  <c r="I57" i="18"/>
  <c r="J57" i="18" s="1"/>
  <c r="I123" i="18"/>
  <c r="J123" i="18" s="1"/>
  <c r="I231" i="18"/>
  <c r="J231" i="18" s="1"/>
  <c r="I88" i="18"/>
  <c r="J88" i="18" s="1"/>
  <c r="I256" i="18"/>
  <c r="J256" i="18" s="1"/>
  <c r="I24" i="18"/>
  <c r="J24" i="18" s="1"/>
  <c r="I149" i="18"/>
  <c r="J149" i="18" s="1"/>
  <c r="I201" i="18"/>
  <c r="J201" i="18" s="1"/>
  <c r="I235" i="18"/>
  <c r="J235" i="18" s="1"/>
  <c r="I192" i="18"/>
  <c r="J192" i="18" s="1"/>
  <c r="R46" i="15"/>
  <c r="I158" i="18"/>
  <c r="J158" i="18" s="1"/>
  <c r="I36" i="18"/>
  <c r="J36" i="18" s="1"/>
  <c r="I99" i="18"/>
  <c r="J99" i="18" s="1"/>
  <c r="I33" i="18"/>
  <c r="J33" i="18" s="1"/>
  <c r="I151" i="18"/>
  <c r="J151" i="18" s="1"/>
  <c r="K115" i="18"/>
  <c r="K180" i="18"/>
  <c r="J6" i="18"/>
  <c r="U36" i="15"/>
  <c r="U34" i="15"/>
  <c r="W28" i="15" l="1"/>
  <c r="Z28" i="15"/>
  <c r="U21" i="15"/>
  <c r="Z21" i="15" s="1"/>
  <c r="Z36" i="15"/>
  <c r="W26" i="15"/>
  <c r="U26" i="15"/>
  <c r="Z26" i="15" s="1"/>
  <c r="Z43" i="15"/>
  <c r="W43" i="15"/>
  <c r="W29" i="15"/>
  <c r="U29" i="15"/>
  <c r="Z29" i="15" s="1"/>
  <c r="K49" i="18"/>
  <c r="Z37" i="15"/>
  <c r="U41" i="15"/>
  <c r="Z41" i="15" s="1"/>
  <c r="U20" i="15"/>
  <c r="Z20" i="15" s="1"/>
  <c r="W37" i="15"/>
  <c r="U23" i="15"/>
  <c r="Z23" i="15" s="1"/>
  <c r="U40" i="15"/>
  <c r="Z40" i="15" s="1"/>
  <c r="U31" i="15"/>
  <c r="Z31" i="15" s="1"/>
  <c r="U19" i="15"/>
  <c r="Z19" i="15" s="1"/>
  <c r="Z25" i="15"/>
  <c r="W25" i="15"/>
  <c r="K10" i="18"/>
  <c r="K7" i="18"/>
  <c r="U35" i="15"/>
  <c r="Z35" i="15" s="1"/>
  <c r="U42" i="15"/>
  <c r="Z42" i="15" s="1"/>
  <c r="U44" i="15"/>
  <c r="Z44" i="15" s="1"/>
  <c r="K87" i="18"/>
  <c r="K71" i="18"/>
  <c r="U18" i="15"/>
  <c r="U39" i="15"/>
  <c r="Z39" i="15" s="1"/>
  <c r="Z34" i="15"/>
  <c r="K35" i="18"/>
  <c r="Z30" i="15"/>
  <c r="U32" i="15"/>
  <c r="Z32" i="15" s="1"/>
  <c r="U33" i="15"/>
  <c r="Z33" i="15" s="1"/>
  <c r="U38" i="15"/>
  <c r="Z38" i="15" s="1"/>
  <c r="K88" i="18"/>
  <c r="K36" i="18"/>
  <c r="I262" i="18"/>
  <c r="T46" i="15"/>
  <c r="N48" i="15" s="1"/>
  <c r="J262" i="18"/>
  <c r="S46" i="15"/>
  <c r="K174" i="18"/>
  <c r="K134" i="18"/>
  <c r="K188" i="18"/>
  <c r="K259" i="18"/>
  <c r="K139" i="18"/>
  <c r="K186" i="18"/>
  <c r="K157" i="18"/>
  <c r="K228" i="18"/>
  <c r="K173" i="18"/>
  <c r="K86" i="18"/>
  <c r="K53" i="18"/>
  <c r="K177" i="18"/>
  <c r="K199" i="18"/>
  <c r="W21" i="15"/>
  <c r="K9" i="18"/>
  <c r="K207" i="18"/>
  <c r="K211" i="18"/>
  <c r="K94" i="18"/>
  <c r="K69" i="18"/>
  <c r="K241" i="18"/>
  <c r="K258" i="18"/>
  <c r="K169" i="18"/>
  <c r="K83" i="18"/>
  <c r="K101" i="18"/>
  <c r="K238" i="18"/>
  <c r="K123" i="18"/>
  <c r="K260" i="18"/>
  <c r="K206" i="18"/>
  <c r="K99" i="18"/>
  <c r="K109" i="18"/>
  <c r="K122" i="18"/>
  <c r="K220" i="18"/>
  <c r="K141" i="18"/>
  <c r="K245" i="18"/>
  <c r="K121" i="18"/>
  <c r="K230" i="18"/>
  <c r="K166" i="18"/>
  <c r="K128" i="18"/>
  <c r="K240" i="18"/>
  <c r="K168" i="18"/>
  <c r="K55" i="18"/>
  <c r="K189" i="18"/>
  <c r="K229" i="18"/>
  <c r="K216" i="18"/>
  <c r="K254" i="18"/>
  <c r="K233" i="18"/>
  <c r="K102" i="18"/>
  <c r="K253" i="18"/>
  <c r="K209" i="18"/>
  <c r="K100" i="18"/>
  <c r="K193" i="18"/>
  <c r="K111" i="18"/>
  <c r="K234" i="18"/>
  <c r="K118" i="18"/>
  <c r="K117" i="18"/>
  <c r="W33" i="15"/>
  <c r="K19" i="18"/>
  <c r="K243" i="18"/>
  <c r="K131" i="18"/>
  <c r="K195" i="18"/>
  <c r="K171" i="18"/>
  <c r="K181" i="18"/>
  <c r="K140" i="18"/>
  <c r="K165" i="18"/>
  <c r="K187" i="18"/>
  <c r="K205" i="18"/>
  <c r="K96" i="18"/>
  <c r="K176" i="18"/>
  <c r="K56" i="18"/>
  <c r="K183" i="18"/>
  <c r="K107" i="18"/>
  <c r="K255" i="18"/>
  <c r="K219" i="18"/>
  <c r="K162" i="18"/>
  <c r="K58" i="18"/>
  <c r="K224" i="18"/>
  <c r="K60" i="18"/>
  <c r="K114" i="18"/>
  <c r="K95" i="18"/>
  <c r="K194" i="18"/>
  <c r="K143" i="18"/>
  <c r="K125" i="18"/>
  <c r="K155" i="18"/>
  <c r="K138" i="18"/>
  <c r="K261" i="18"/>
  <c r="K40" i="18"/>
  <c r="K175" i="18"/>
  <c r="K161" i="18"/>
  <c r="K150" i="18"/>
  <c r="K164" i="18"/>
  <c r="K97" i="18"/>
  <c r="K201" i="18"/>
  <c r="K218" i="18"/>
  <c r="K110" i="18"/>
  <c r="K198" i="18"/>
  <c r="K203" i="18"/>
  <c r="K127" i="18"/>
  <c r="K172" i="18"/>
  <c r="K214" i="18"/>
  <c r="K217" i="18"/>
  <c r="K44" i="18"/>
  <c r="W23" i="15"/>
  <c r="K11" i="18"/>
  <c r="K156" i="18"/>
  <c r="K63" i="18"/>
  <c r="K250" i="18"/>
  <c r="K93" i="18"/>
  <c r="K144" i="18"/>
  <c r="K246" i="18"/>
  <c r="K237" i="18"/>
  <c r="K78" i="18"/>
  <c r="W42" i="15"/>
  <c r="K28" i="18"/>
  <c r="K248" i="18"/>
  <c r="K124" i="18"/>
  <c r="K64" i="18"/>
  <c r="K213" i="18"/>
  <c r="K249" i="18"/>
  <c r="K119" i="18"/>
  <c r="K179" i="18"/>
  <c r="K142" i="18"/>
  <c r="K45" i="18"/>
  <c r="K82" i="18"/>
  <c r="K225" i="18"/>
  <c r="K104" i="18"/>
  <c r="K208" i="18"/>
  <c r="K108" i="18"/>
  <c r="K149" i="18"/>
  <c r="K42" i="18"/>
  <c r="K227" i="18"/>
  <c r="K106" i="18"/>
  <c r="K154" i="18"/>
  <c r="K98" i="18"/>
  <c r="K103" i="18"/>
  <c r="K153" i="18"/>
  <c r="K191" i="18"/>
  <c r="K226" i="18"/>
  <c r="K46" i="18"/>
  <c r="K222" i="18"/>
  <c r="K239" i="18"/>
  <c r="K182" i="18"/>
  <c r="K152" i="18"/>
  <c r="K252" i="18"/>
  <c r="W41" i="15"/>
  <c r="K27" i="18"/>
  <c r="K112" i="18"/>
  <c r="K202" i="18"/>
  <c r="K133" i="18"/>
  <c r="W44" i="15"/>
  <c r="K30" i="18"/>
  <c r="K92" i="18"/>
  <c r="W32" i="15"/>
  <c r="K18" i="18"/>
  <c r="K192" i="18"/>
  <c r="K210" i="18"/>
  <c r="K158" i="18"/>
  <c r="K76" i="18"/>
  <c r="K223" i="18"/>
  <c r="K184" i="18"/>
  <c r="K160" i="18"/>
  <c r="W38" i="15"/>
  <c r="K24" i="18"/>
  <c r="K137" i="18"/>
  <c r="W36" i="15"/>
  <c r="K22" i="18"/>
  <c r="K146" i="18"/>
  <c r="K185" i="18"/>
  <c r="K116" i="18"/>
  <c r="W20" i="15"/>
  <c r="K8" i="18"/>
  <c r="W34" i="15"/>
  <c r="K20" i="18"/>
  <c r="K257" i="18"/>
  <c r="W35" i="15"/>
  <c r="K21" i="18"/>
  <c r="K167" i="18"/>
  <c r="K244" i="18"/>
  <c r="K105" i="18"/>
  <c r="K204" i="18"/>
  <c r="K231" i="18"/>
  <c r="K135" i="18"/>
  <c r="K242" i="18"/>
  <c r="K212" i="18"/>
  <c r="K80" i="18"/>
  <c r="K126" i="18"/>
  <c r="K235" i="18"/>
  <c r="K130" i="18"/>
  <c r="K200" i="18"/>
  <c r="K196" i="18"/>
  <c r="K136" i="18"/>
  <c r="K236" i="18"/>
  <c r="K197" i="18"/>
  <c r="K215" i="18"/>
  <c r="K256" i="18"/>
  <c r="K120" i="18"/>
  <c r="K178" i="18"/>
  <c r="K247" i="18"/>
  <c r="K251" i="18"/>
  <c r="K163" i="18"/>
  <c r="K129" i="18"/>
  <c r="K148" i="18"/>
  <c r="K147" i="18"/>
  <c r="K145" i="18"/>
  <c r="K43" i="18"/>
  <c r="K232" i="18"/>
  <c r="K91" i="18"/>
  <c r="K170" i="18"/>
  <c r="K159" i="18"/>
  <c r="K68" i="18"/>
  <c r="K221" i="18"/>
  <c r="W39" i="15"/>
  <c r="K25" i="18"/>
  <c r="K89" i="18"/>
  <c r="K14" i="18" l="1"/>
  <c r="K15" i="18"/>
  <c r="K29" i="18"/>
  <c r="K48" i="18"/>
  <c r="K39" i="18"/>
  <c r="K65" i="18"/>
  <c r="K37" i="18"/>
  <c r="K90" i="18"/>
  <c r="Z18" i="15"/>
  <c r="U46" i="15"/>
  <c r="K38" i="18"/>
  <c r="K75" i="18"/>
  <c r="W18" i="15"/>
  <c r="K79" i="18"/>
  <c r="K23" i="18"/>
  <c r="K61" i="18"/>
  <c r="K52" i="18"/>
  <c r="K66" i="18"/>
  <c r="K51" i="18"/>
  <c r="V46" i="15"/>
  <c r="K70" i="18"/>
  <c r="K54" i="18"/>
  <c r="K17" i="18"/>
  <c r="K77" i="18"/>
  <c r="W31" i="15"/>
  <c r="K85" i="18"/>
  <c r="K47" i="18"/>
  <c r="K41" i="18"/>
  <c r="K6" i="18"/>
  <c r="K84" i="18"/>
  <c r="W19" i="15"/>
  <c r="K73" i="18"/>
  <c r="K72" i="18"/>
  <c r="K26" i="18"/>
  <c r="K13" i="18"/>
  <c r="W40" i="15"/>
  <c r="W22" i="15"/>
  <c r="K31" i="18"/>
  <c r="W24" i="15"/>
  <c r="K34" i="18"/>
  <c r="K67" i="18"/>
  <c r="K12" i="18"/>
  <c r="K81" i="18"/>
  <c r="K59" i="18"/>
  <c r="K50" i="18"/>
  <c r="K74" i="18"/>
  <c r="K32" i="18"/>
  <c r="K57" i="18"/>
  <c r="K62" i="18"/>
  <c r="W30" i="15"/>
  <c r="K113" i="18"/>
  <c r="K132" i="18"/>
  <c r="K16" i="18"/>
  <c r="K190" i="18"/>
  <c r="K33" i="18"/>
  <c r="K151" i="18"/>
  <c r="W46" i="15" l="1"/>
  <c r="M7" i="15" s="1"/>
  <c r="N7" i="15" s="1"/>
  <c r="K262" i="18"/>
  <c r="R48" i="15"/>
</calcChain>
</file>

<file path=xl/sharedStrings.xml><?xml version="1.0" encoding="utf-8"?>
<sst xmlns="http://schemas.openxmlformats.org/spreadsheetml/2006/main" count="1772" uniqueCount="396">
  <si>
    <t>FLOOR PLANS</t>
  </si>
  <si>
    <t>BASEMENT</t>
  </si>
  <si>
    <t>Basement</t>
  </si>
  <si>
    <t>Clubhouse</t>
  </si>
  <si>
    <t>PARKING</t>
  </si>
  <si>
    <t>Other areas WM Cabin</t>
  </si>
  <si>
    <t>Other areas Pool surface area</t>
  </si>
  <si>
    <t>Other areas Change rooms</t>
  </si>
  <si>
    <t>CUMULATIVE UNIT AREA</t>
  </si>
  <si>
    <t>Total saleable area</t>
  </si>
  <si>
    <t>Gross Saleable area</t>
  </si>
  <si>
    <t>Other areas Water tanks</t>
  </si>
  <si>
    <t>Sq.m</t>
  </si>
  <si>
    <t>Sq.ft</t>
  </si>
  <si>
    <t>Site area - patta</t>
  </si>
  <si>
    <t>Site area - Survey</t>
  </si>
  <si>
    <t>Total</t>
  </si>
  <si>
    <t>Overall saleable area</t>
  </si>
  <si>
    <t>Overall Carpet areas (Cumulative RERA Carpet area + RERA Balcony area)</t>
  </si>
  <si>
    <t>Common areas</t>
  </si>
  <si>
    <t>Common area coefficient</t>
  </si>
  <si>
    <t>S.no</t>
  </si>
  <si>
    <t>Unit No.</t>
  </si>
  <si>
    <t>Typology</t>
  </si>
  <si>
    <t>Facing</t>
  </si>
  <si>
    <t>RERA Carpet area</t>
  </si>
  <si>
    <t>RERA Balcony area</t>
  </si>
  <si>
    <t>Proportionate common area</t>
  </si>
  <si>
    <t>Saleable area per unit</t>
  </si>
  <si>
    <t>UDS</t>
  </si>
  <si>
    <t>(sq.m)</t>
  </si>
  <si>
    <t>(sq.ft)</t>
  </si>
  <si>
    <t>A</t>
  </si>
  <si>
    <t>3BHK2T</t>
  </si>
  <si>
    <t>EAST</t>
  </si>
  <si>
    <t>2BHK2T</t>
  </si>
  <si>
    <t>WEST</t>
  </si>
  <si>
    <t>3BHK3T</t>
  </si>
  <si>
    <t>No of Units</t>
  </si>
  <si>
    <t>RERA Pvt Terrace</t>
  </si>
  <si>
    <t>SBA</t>
  </si>
  <si>
    <t>SA01</t>
  </si>
  <si>
    <t>A, B, C &amp; D - 37, 67</t>
  </si>
  <si>
    <t>SA02</t>
  </si>
  <si>
    <t>A, B, C &amp; D - 32, 62</t>
  </si>
  <si>
    <t>SA03</t>
  </si>
  <si>
    <t>A, B, C &amp; D - 17, 27, 47, 57, 77</t>
  </si>
  <si>
    <t>* - units has private terraces.</t>
  </si>
  <si>
    <t>Other areas Elevation Projections</t>
  </si>
  <si>
    <t>Floor Multiplier</t>
  </si>
  <si>
    <t>STILT</t>
  </si>
  <si>
    <t>Total Builtup area</t>
  </si>
  <si>
    <t>CARPARKING</t>
  </si>
  <si>
    <t>OPEN PARKING</t>
  </si>
  <si>
    <t>INDEP</t>
  </si>
  <si>
    <t>DEP</t>
  </si>
  <si>
    <t>27, 47</t>
  </si>
  <si>
    <t>17, 57</t>
  </si>
  <si>
    <t>37, 67</t>
  </si>
  <si>
    <t>32, 62</t>
  </si>
  <si>
    <t>PLAN VARIATIONS</t>
  </si>
  <si>
    <t>FLOOR PLAN MATRIX</t>
  </si>
  <si>
    <t>MANAPAKKAM UNIT AREA SUMMARY</t>
  </si>
  <si>
    <r>
      <t>SA</t>
    </r>
    <r>
      <rPr>
        <sz val="11"/>
        <color rgb="FFFF0000"/>
        <rFont val="Calibri"/>
        <family val="2"/>
        <scheme val="minor"/>
      </rPr>
      <t>XX-</t>
    </r>
    <r>
      <rPr>
        <sz val="11"/>
        <color theme="1"/>
        <rFont val="Calibri"/>
        <family val="2"/>
        <scheme val="minor"/>
      </rPr>
      <t>A</t>
    </r>
  </si>
  <si>
    <r>
      <t>SA</t>
    </r>
    <r>
      <rPr>
        <sz val="11"/>
        <color rgb="FFFF0000"/>
        <rFont val="Calibri"/>
        <family val="2"/>
        <scheme val="minor"/>
      </rPr>
      <t>XX</t>
    </r>
  </si>
  <si>
    <r>
      <t>SA</t>
    </r>
    <r>
      <rPr>
        <sz val="11"/>
        <color rgb="FFFF0000"/>
        <rFont val="Calibri"/>
        <family val="2"/>
        <scheme val="minor"/>
      </rPr>
      <t>XX-</t>
    </r>
    <r>
      <rPr>
        <sz val="11"/>
        <color theme="1"/>
        <rFont val="Calibri"/>
        <family val="2"/>
        <scheme val="minor"/>
      </rPr>
      <t>B</t>
    </r>
  </si>
  <si>
    <r>
      <t>SA</t>
    </r>
    <r>
      <rPr>
        <sz val="11"/>
        <color rgb="FFFF0000"/>
        <rFont val="Calibri"/>
        <family val="2"/>
        <scheme val="minor"/>
      </rPr>
      <t>XX-</t>
    </r>
    <r>
      <rPr>
        <sz val="11"/>
        <color theme="1"/>
        <rFont val="Calibri"/>
        <family val="2"/>
        <scheme val="minor"/>
      </rPr>
      <t>C</t>
    </r>
  </si>
  <si>
    <r>
      <t>SA</t>
    </r>
    <r>
      <rPr>
        <sz val="11"/>
        <color rgb="FFFF0000"/>
        <rFont val="Calibri"/>
        <family val="2"/>
        <scheme val="minor"/>
      </rPr>
      <t>XX-</t>
    </r>
    <r>
      <rPr>
        <sz val="11"/>
        <color theme="1"/>
        <rFont val="Calibri"/>
        <family val="2"/>
        <scheme val="minor"/>
      </rPr>
      <t>D</t>
    </r>
  </si>
  <si>
    <r>
      <t>SA</t>
    </r>
    <r>
      <rPr>
        <sz val="11"/>
        <color rgb="FFFF0000"/>
        <rFont val="Calibri"/>
        <family val="2"/>
        <scheme val="minor"/>
      </rPr>
      <t>XX-</t>
    </r>
    <r>
      <rPr>
        <sz val="11"/>
        <color theme="1"/>
        <rFont val="Calibri"/>
        <family val="2"/>
        <scheme val="minor"/>
      </rPr>
      <t>E</t>
    </r>
  </si>
  <si>
    <t xml:space="preserve">Car parking </t>
  </si>
  <si>
    <t>ARCHITECTURAL AREA STATEMENT</t>
  </si>
  <si>
    <t>EARLIER STATEMENT</t>
  </si>
  <si>
    <t>X</t>
  </si>
  <si>
    <t>Remarks</t>
  </si>
  <si>
    <t>Including Staircase rooms, Lifts, STP, WTP</t>
  </si>
  <si>
    <t>Only STP &amp; WTP</t>
  </si>
  <si>
    <t>Stilt - type 1</t>
  </si>
  <si>
    <r>
      <t xml:space="preserve">Staircase areas, Lift areas, Association rooms, Electrical rooms; Drivers toilet, </t>
    </r>
    <r>
      <rPr>
        <sz val="11"/>
        <color rgb="FFFF0000"/>
        <rFont val="Calibri"/>
        <family val="2"/>
        <scheme val="minor"/>
      </rPr>
      <t>excluding lift lobbies</t>
    </r>
  </si>
  <si>
    <r>
      <t xml:space="preserve">Staircase areas, Lift areas &amp; Lift lobbies; </t>
    </r>
    <r>
      <rPr>
        <sz val="11"/>
        <color rgb="FFFF0000"/>
        <rFont val="Calibri"/>
        <family val="2"/>
        <scheme val="minor"/>
      </rPr>
      <t>Excluding Drivers toilet, Electrical rooms</t>
    </r>
  </si>
  <si>
    <t>Stilt - type 5 &amp; 6</t>
  </si>
  <si>
    <t>Type 1</t>
  </si>
  <si>
    <t>Deduction - Lift cutouts up to 7th floor,  service shafts,  Balcony Shafts, AC ledges in the OTS and Elevation projections</t>
  </si>
  <si>
    <t>Same as earlier, But Lift cutouts included for all floors</t>
  </si>
  <si>
    <t xml:space="preserve">Type 2 </t>
  </si>
  <si>
    <t>Terrace feature added; ~1000 sft added</t>
  </si>
  <si>
    <t>Earlier area 104; 1000 sq.ft added</t>
  </si>
  <si>
    <t>SA Efficiency with Site</t>
  </si>
  <si>
    <t xml:space="preserve">Builtup area </t>
  </si>
  <si>
    <t>Not Included: Terrace Head room areas and  Lower terraces</t>
  </si>
  <si>
    <t>BuA Efficiency with SA</t>
  </si>
  <si>
    <t>Unit Breakup</t>
  </si>
  <si>
    <t>Total  No of Units</t>
  </si>
  <si>
    <t>Total Parking (Excluding Visitors)</t>
  </si>
  <si>
    <t>-</t>
  </si>
  <si>
    <t>VISITOR</t>
  </si>
  <si>
    <t>Includes AC ledges at all levels</t>
  </si>
  <si>
    <t>Parking chart</t>
  </si>
  <si>
    <t>covered car park</t>
  </si>
  <si>
    <t>Usable carpet area</t>
  </si>
  <si>
    <t>Developable area (UDS)</t>
  </si>
  <si>
    <t xml:space="preserve">UDS Coefficient </t>
  </si>
  <si>
    <t>B</t>
  </si>
  <si>
    <t>C</t>
  </si>
  <si>
    <t>D</t>
  </si>
  <si>
    <t>2BHK2TC</t>
  </si>
  <si>
    <t>NORTH</t>
  </si>
  <si>
    <t>Duct deductions, OTS &amp; cutouts</t>
  </si>
  <si>
    <t>1 floor</t>
  </si>
  <si>
    <t xml:space="preserve">Total Saleable area </t>
  </si>
  <si>
    <t>CORE AREA &amp; CORRIDOR</t>
  </si>
  <si>
    <t xml:space="preserve"> Other areas</t>
  </si>
  <si>
    <t xml:space="preserve"> OHT AT TERRACE</t>
  </si>
  <si>
    <t>NON ACCESSABLE TERRACE AT 1ST FLR</t>
  </si>
  <si>
    <t>Tower no.</t>
  </si>
  <si>
    <t>Tower A</t>
  </si>
  <si>
    <t>Tower B</t>
  </si>
  <si>
    <t>OTHER LEDGE , ELEVATION PROJECTIONS, SUNSHADE &amp; BEAMS PROJECTIONS</t>
  </si>
  <si>
    <t>sq.ft</t>
  </si>
  <si>
    <t>Area summary - GA,GD3</t>
  </si>
  <si>
    <t>Total builtup area</t>
  </si>
  <si>
    <t>Terrace Head room</t>
  </si>
  <si>
    <t>RERA AREA  TABULATION       -     PHASE-3</t>
  </si>
  <si>
    <t>06.05.2021</t>
  </si>
  <si>
    <t>S.NO</t>
  </si>
  <si>
    <t>TOWER</t>
  </si>
  <si>
    <t>FLAT NO</t>
  </si>
  <si>
    <t>TYPE</t>
  </si>
  <si>
    <t>FLOOR</t>
  </si>
  <si>
    <t>RERA CARPET  AREA</t>
  </si>
  <si>
    <t>EXCLUSIVE BALCONY</t>
  </si>
  <si>
    <t>EXCLUSIVE  VERANDAH / UTILITY / SERVICE /OPEN TERRACE</t>
  </si>
  <si>
    <t>PROPORTIONATE COMMON AREA</t>
  </si>
  <si>
    <t>TOTAL AREA</t>
  </si>
  <si>
    <t>UDS LAND AREA</t>
  </si>
  <si>
    <t>sq.m</t>
  </si>
  <si>
    <t>sqm</t>
  </si>
  <si>
    <t>covered</t>
  </si>
  <si>
    <t> open</t>
  </si>
  <si>
    <t>TOTAL</t>
  </si>
  <si>
    <t>CAR PARKING STATEMENT</t>
  </si>
  <si>
    <t xml:space="preserve">COVERED CAR PARKS ALLOTTED </t>
  </si>
  <si>
    <t>Site area - Document</t>
  </si>
  <si>
    <t>Site area - Document for UDS</t>
  </si>
  <si>
    <t>2-5 floors</t>
  </si>
  <si>
    <t>.</t>
  </si>
  <si>
    <t>UDS LAND AREA in Vengaivasal village</t>
  </si>
  <si>
    <t>Private Terrace</t>
  </si>
  <si>
    <t>LIG UNIT</t>
  </si>
  <si>
    <t>3BHK 2T</t>
  </si>
  <si>
    <t>B.U.A</t>
  </si>
  <si>
    <t>TOWER-A</t>
  </si>
  <si>
    <t>TOWER-B</t>
  </si>
  <si>
    <t>STILT LEVEL - PHY CH</t>
  </si>
  <si>
    <t>STILT LEVEL - VISITORS</t>
  </si>
  <si>
    <t xml:space="preserve">CAR PARKS ALLOTTED </t>
  </si>
  <si>
    <t>PH CH CAR PARK</t>
  </si>
  <si>
    <t>CAR PARK</t>
  </si>
  <si>
    <t>TOTAL NO. OF NORMAL CAR PARKS ALLOTED</t>
  </si>
  <si>
    <t>Area summary - Vengaivasal</t>
  </si>
  <si>
    <t>Usable carpet area (Including Balcony Area)</t>
  </si>
  <si>
    <t>COMMON AREA</t>
  </si>
  <si>
    <t xml:space="preserve">ACCESSIBLE TERRACE </t>
  </si>
  <si>
    <t>ACCESSIBLE TERRACE</t>
  </si>
  <si>
    <t>INDIVIDUAL UNIT CARPET AREA TABULATION</t>
  </si>
  <si>
    <t>Site area - as per patta</t>
  </si>
  <si>
    <t>Site area - as per Physical Boundary</t>
  </si>
  <si>
    <t>Site area - as per Least area</t>
  </si>
  <si>
    <t>Sl.no</t>
  </si>
  <si>
    <t xml:space="preserve">Particulars </t>
  </si>
  <si>
    <t>Ratios</t>
  </si>
  <si>
    <t>Sqm</t>
  </si>
  <si>
    <t>Sqft</t>
  </si>
  <si>
    <t>SA</t>
  </si>
  <si>
    <t>PCT</t>
  </si>
  <si>
    <t>No of Car Park</t>
  </si>
  <si>
    <t xml:space="preserve">/Nos </t>
  </si>
  <si>
    <t>in Sft</t>
  </si>
  <si>
    <t>[%]</t>
  </si>
  <si>
    <t xml:space="preserve">FSI Permissible </t>
  </si>
  <si>
    <t xml:space="preserve">FSI Achieved </t>
  </si>
  <si>
    <t>OSR</t>
  </si>
  <si>
    <t xml:space="preserve">Total parking Area </t>
  </si>
  <si>
    <t>Tower Area (Typ)</t>
  </si>
  <si>
    <t xml:space="preserve">Club House </t>
  </si>
  <si>
    <t>Total Tower Built-up Area (TBUA) (inc. Club)</t>
  </si>
  <si>
    <t>Total Construction Area (CA)</t>
  </si>
  <si>
    <t>Vistors @ 10%</t>
  </si>
  <si>
    <t>Usable Carpet Area (UCA)</t>
  </si>
  <si>
    <t>Saleable Area (SA)</t>
  </si>
  <si>
    <t xml:space="preserve">Total </t>
  </si>
  <si>
    <t>Ratios:-</t>
  </si>
  <si>
    <t>TBUA:SA</t>
  </si>
  <si>
    <t>SA : FSI</t>
  </si>
  <si>
    <t>(Actual)</t>
  </si>
  <si>
    <t>SA:UCA</t>
  </si>
  <si>
    <t>(Rounded)</t>
  </si>
  <si>
    <t>CA:SA</t>
  </si>
  <si>
    <t>No of Blocks</t>
  </si>
  <si>
    <t xml:space="preserve">No of Units </t>
  </si>
  <si>
    <t xml:space="preserve">Covered Car Park </t>
  </si>
  <si>
    <t>Surface Car Park</t>
  </si>
  <si>
    <t>Total Car Park</t>
  </si>
  <si>
    <t>ECS</t>
  </si>
  <si>
    <t>Sl.No</t>
  </si>
  <si>
    <t>BLOCK</t>
  </si>
  <si>
    <t xml:space="preserve">Floor </t>
  </si>
  <si>
    <t>Flat number</t>
  </si>
  <si>
    <t>Flat type</t>
  </si>
  <si>
    <t>Exclusive balcony area</t>
  </si>
  <si>
    <t>Exclusive verandah/ Service/ Open terrace area</t>
  </si>
  <si>
    <t>BUA</t>
  </si>
  <si>
    <t>Total area</t>
  </si>
  <si>
    <t>UDS area</t>
  </si>
  <si>
    <t>Car parking nos</t>
  </si>
  <si>
    <t xml:space="preserve">Open </t>
  </si>
  <si>
    <t>Covered</t>
  </si>
  <si>
    <t>BLOCK A</t>
  </si>
  <si>
    <t>1st floor</t>
  </si>
  <si>
    <t>A-101</t>
  </si>
  <si>
    <t>2BHK 2T</t>
  </si>
  <si>
    <t>A-102</t>
  </si>
  <si>
    <t>A-103</t>
  </si>
  <si>
    <t>A-104</t>
  </si>
  <si>
    <t>3BHK 3T</t>
  </si>
  <si>
    <t>A-105</t>
  </si>
  <si>
    <t>A-106</t>
  </si>
  <si>
    <t>A-107</t>
  </si>
  <si>
    <t>A-108</t>
  </si>
  <si>
    <t>A-109</t>
  </si>
  <si>
    <t>A-110</t>
  </si>
  <si>
    <t>2nd floor</t>
  </si>
  <si>
    <t>A-201</t>
  </si>
  <si>
    <t>A-202</t>
  </si>
  <si>
    <t>A-203</t>
  </si>
  <si>
    <t>A-204</t>
  </si>
  <si>
    <t>A-205</t>
  </si>
  <si>
    <t>A-206</t>
  </si>
  <si>
    <t>A-207</t>
  </si>
  <si>
    <t>A-208</t>
  </si>
  <si>
    <t>A-209</t>
  </si>
  <si>
    <t>A-210</t>
  </si>
  <si>
    <t>3rd floor</t>
  </si>
  <si>
    <t>A-301</t>
  </si>
  <si>
    <t>A-302</t>
  </si>
  <si>
    <t>A-303</t>
  </si>
  <si>
    <t>A-304</t>
  </si>
  <si>
    <t>A-305</t>
  </si>
  <si>
    <t>A-306</t>
  </si>
  <si>
    <t>A-307</t>
  </si>
  <si>
    <t>A-308</t>
  </si>
  <si>
    <t>A-309</t>
  </si>
  <si>
    <t>A-310</t>
  </si>
  <si>
    <t>4th floor</t>
  </si>
  <si>
    <t>A-401</t>
  </si>
  <si>
    <t>A-402</t>
  </si>
  <si>
    <t>A-403</t>
  </si>
  <si>
    <t>A-404</t>
  </si>
  <si>
    <t>A-405</t>
  </si>
  <si>
    <t>A-406</t>
  </si>
  <si>
    <t>A-407</t>
  </si>
  <si>
    <t>A-408</t>
  </si>
  <si>
    <t>A-409</t>
  </si>
  <si>
    <t>A-410</t>
  </si>
  <si>
    <t>5th floor</t>
  </si>
  <si>
    <t>A-501</t>
  </si>
  <si>
    <t>A-502</t>
  </si>
  <si>
    <t>A-503</t>
  </si>
  <si>
    <t>A-504</t>
  </si>
  <si>
    <t>A-505</t>
  </si>
  <si>
    <t>A-506</t>
  </si>
  <si>
    <t>A-507</t>
  </si>
  <si>
    <t>A-508</t>
  </si>
  <si>
    <t>A-509</t>
  </si>
  <si>
    <t>A-510</t>
  </si>
  <si>
    <t>BLOCK B</t>
  </si>
  <si>
    <t>B-101</t>
  </si>
  <si>
    <t>B-102</t>
  </si>
  <si>
    <t>B-103</t>
  </si>
  <si>
    <t>B-104</t>
  </si>
  <si>
    <t>B-105</t>
  </si>
  <si>
    <t>B-106</t>
  </si>
  <si>
    <t>B-107</t>
  </si>
  <si>
    <t>B-108</t>
  </si>
  <si>
    <t>B-109</t>
  </si>
  <si>
    <t>B-110</t>
  </si>
  <si>
    <t>B-111</t>
  </si>
  <si>
    <t>B-112</t>
  </si>
  <si>
    <t>B-113</t>
  </si>
  <si>
    <t>B-114</t>
  </si>
  <si>
    <t>B-115</t>
  </si>
  <si>
    <t>B-116</t>
  </si>
  <si>
    <t>B-117</t>
  </si>
  <si>
    <t>B-201</t>
  </si>
  <si>
    <t>B-202</t>
  </si>
  <si>
    <t>B-203</t>
  </si>
  <si>
    <t>B-204</t>
  </si>
  <si>
    <t>B-205</t>
  </si>
  <si>
    <t>B-206</t>
  </si>
  <si>
    <t>B-207</t>
  </si>
  <si>
    <t>B-208</t>
  </si>
  <si>
    <t>B-209</t>
  </si>
  <si>
    <t>B-210</t>
  </si>
  <si>
    <t>B-211</t>
  </si>
  <si>
    <t>B-212</t>
  </si>
  <si>
    <t>B-213</t>
  </si>
  <si>
    <t>B-214</t>
  </si>
  <si>
    <t>B-215</t>
  </si>
  <si>
    <t>B-216</t>
  </si>
  <si>
    <t>B-217</t>
  </si>
  <si>
    <t>B-301</t>
  </si>
  <si>
    <t>B-302</t>
  </si>
  <si>
    <t>B-303</t>
  </si>
  <si>
    <t>B-304</t>
  </si>
  <si>
    <t>B-305</t>
  </si>
  <si>
    <t>B-306</t>
  </si>
  <si>
    <t>B-307</t>
  </si>
  <si>
    <t>B-308</t>
  </si>
  <si>
    <t>B-309</t>
  </si>
  <si>
    <t>B-310</t>
  </si>
  <si>
    <t>B-311</t>
  </si>
  <si>
    <t>B-312</t>
  </si>
  <si>
    <t>B-313</t>
  </si>
  <si>
    <t>B-314</t>
  </si>
  <si>
    <t>B-315</t>
  </si>
  <si>
    <t>B-316</t>
  </si>
  <si>
    <t>B-317</t>
  </si>
  <si>
    <t>B-401</t>
  </si>
  <si>
    <t>B-402</t>
  </si>
  <si>
    <t>B-403</t>
  </si>
  <si>
    <t>B-404</t>
  </si>
  <si>
    <t>B-405</t>
  </si>
  <si>
    <t>B-406</t>
  </si>
  <si>
    <t>B-407</t>
  </si>
  <si>
    <t>B-408</t>
  </si>
  <si>
    <t>B-409</t>
  </si>
  <si>
    <t>B-410</t>
  </si>
  <si>
    <t>B-411</t>
  </si>
  <si>
    <t>B-412</t>
  </si>
  <si>
    <t>B-413</t>
  </si>
  <si>
    <t>B-414</t>
  </si>
  <si>
    <t>B-415</t>
  </si>
  <si>
    <t>B-416</t>
  </si>
  <si>
    <t>B-417</t>
  </si>
  <si>
    <t>B-501</t>
  </si>
  <si>
    <t>B-502</t>
  </si>
  <si>
    <t>B-503</t>
  </si>
  <si>
    <t>B-504</t>
  </si>
  <si>
    <t>B-505</t>
  </si>
  <si>
    <t>B-506</t>
  </si>
  <si>
    <t>B-507</t>
  </si>
  <si>
    <t>B-508</t>
  </si>
  <si>
    <t>B-509</t>
  </si>
  <si>
    <t>B-510</t>
  </si>
  <si>
    <t>B-511</t>
  </si>
  <si>
    <t>B-512</t>
  </si>
  <si>
    <t>B-513</t>
  </si>
  <si>
    <t>B-514</t>
  </si>
  <si>
    <t>B-515</t>
  </si>
  <si>
    <t>B-516</t>
  </si>
  <si>
    <t>B-517</t>
  </si>
  <si>
    <t xml:space="preserve">STILT FLOOR </t>
  </si>
  <si>
    <t>Overall  Area</t>
  </si>
  <si>
    <t>OWC</t>
  </si>
  <si>
    <t>ELECTRICAL&amp; COMMUNICATION ROOM</t>
  </si>
  <si>
    <t>DRIVERS / SERVANTS TOILET &amp;SECURITY ROOM</t>
  </si>
  <si>
    <t>STP TANK &amp; PUMP ROOM</t>
  </si>
  <si>
    <t>WTP &amp;UG sump</t>
  </si>
  <si>
    <t>STAIRCASE &amp;LIFT AREA</t>
  </si>
  <si>
    <t>Residential floor plans - BLOCK - A</t>
  </si>
  <si>
    <t>Residential floor plans - BLOCK - B</t>
  </si>
  <si>
    <t>Total common builtup area</t>
  </si>
  <si>
    <t>Total units Builtup area per floor</t>
  </si>
  <si>
    <t>Site Extent -least</t>
  </si>
  <si>
    <t>LIFT MACHINE ROOM</t>
  </si>
  <si>
    <t>Stilt parking area</t>
  </si>
  <si>
    <t>Services area &amp; Drivers toilet</t>
  </si>
  <si>
    <t>Services slab</t>
  </si>
  <si>
    <t>2BHK 2T comp</t>
  </si>
  <si>
    <t>974 to 976</t>
  </si>
  <si>
    <t>1018 to 1037</t>
  </si>
  <si>
    <t>1331 to 1339</t>
  </si>
  <si>
    <t>1587 to 1665</t>
  </si>
  <si>
    <t>Block</t>
  </si>
  <si>
    <t>A &amp; B</t>
  </si>
  <si>
    <t>Private terrace-100%</t>
  </si>
  <si>
    <t>Sq.ft R.O</t>
  </si>
  <si>
    <t>RERA AREA STATEMENT (in Sq. Mts)</t>
  </si>
  <si>
    <t>SUBTOTAL - BLOCK A</t>
  </si>
  <si>
    <t>SUBTOTAL -BLOCK B</t>
  </si>
  <si>
    <t>SUMMARY STATEMENT</t>
  </si>
  <si>
    <t>ALL AREAS ARE IN SQMTS</t>
  </si>
  <si>
    <t>VISITOR CAR PARKING</t>
  </si>
  <si>
    <t>TOTAL UDS AREA</t>
  </si>
  <si>
    <t>SQM</t>
  </si>
  <si>
    <t>TOTAL SITE AREA (LEAST BOUNDARY)</t>
  </si>
  <si>
    <t>'PROPOSED CONSTRUCTION OF RESIDENTIAL GROUP HOUSING DEVELOPMENT COMPRISING 2 BLOCKS WITH 135 DWELLING UNITS; 
BLOCK A: STILT FLOOR + 5 FLOORS       (HEIGHT- 18.30M) RESIDENTIAL BUILDING WITH 50 DWELLING AND BLOCK B: STILT FLOOR +5 FLOORS (HEIGHT-18.30M) RESIDENTIAL BUILDING WITH 85 DWELLING UNITS AVAILING PREMIUM FSI AT FLATTED DEVELOPMENT PLOT NO.169 IN CMDA APPROVED LAYOUT (P.P.D/L.O NO. 14/2022) COMPRISED IN   S.NOS. 177/2 PART,202/6, 202/7, 203, 204/1A PART, 204/2 PART, 204/3 PART, 205/1 PART, 205/2 PART OF VENGAIVASAL VILLAGE WITHIN THE LIMITS OF ST. THOMAS MOUNT PANCHAYAT UNION)''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</si>
</sst>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0.000"/>
    <numFmt numFmtId="168" formatCode="_ * #,##0.0_ ;_ * \-#,##0.0_ ;_ * &quot;-&quot;??_ ;_ @_ 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8"/>
      <color rgb="FF000000"/>
      <name val="Arial"/>
      <family val="2"/>
    </font>
    <font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000000"/>
      <name val="Arial"/>
      <family val="2"/>
    </font>
    <font>
      <sz val="12"/>
      <color rgb="FF222222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color rgb="FF1F497D"/>
      <name val="Arial"/>
      <family val="2"/>
    </font>
    <font>
      <b/>
      <sz val="10"/>
      <color rgb="FF1F497D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rgb="FF1F497D"/>
      <name val="Arial"/>
      <family val="2"/>
    </font>
    <font>
      <b/>
      <sz val="9"/>
      <color rgb="FF1F497D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26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FACE"/>
        <bgColor indexed="64"/>
      </patternFill>
    </fill>
    <fill>
      <patternFill patternType="solid">
        <fgColor rgb="FFEFEEB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7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49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textRotation="90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0" fillId="0" borderId="0" xfId="1" applyNumberFormat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165" fontId="1" fillId="4" borderId="1" xfId="1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5" fontId="0" fillId="5" borderId="1" xfId="1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20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 vertical="center"/>
    </xf>
    <xf numFmtId="0" fontId="0" fillId="2" borderId="10" xfId="0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8" borderId="10" xfId="0" applyFill="1" applyBorder="1" applyAlignment="1">
      <alignment horizontal="left"/>
    </xf>
    <xf numFmtId="0" fontId="0" fillId="8" borderId="12" xfId="0" applyFill="1" applyBorder="1"/>
    <xf numFmtId="0" fontId="0" fillId="8" borderId="12" xfId="0" applyFill="1" applyBorder="1" applyAlignment="1">
      <alignment horizontal="center"/>
    </xf>
    <xf numFmtId="0" fontId="0" fillId="8" borderId="12" xfId="0" applyFill="1" applyBorder="1" applyAlignment="1">
      <alignment horizontal="center" vertical="center"/>
    </xf>
    <xf numFmtId="2" fontId="1" fillId="8" borderId="1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2" fontId="10" fillId="0" borderId="0" xfId="0" applyNumberFormat="1" applyFont="1"/>
    <xf numFmtId="2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2" fontId="10" fillId="8" borderId="1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left" inden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0" fillId="0" borderId="25" xfId="0" applyBorder="1" applyAlignment="1">
      <alignment horizontal="left" vertical="center" indent="1"/>
    </xf>
    <xf numFmtId="2" fontId="12" fillId="0" borderId="1" xfId="0" applyNumberFormat="1" applyFont="1" applyBorder="1" applyAlignment="1">
      <alignment horizontal="center" vertical="center"/>
    </xf>
    <xf numFmtId="2" fontId="12" fillId="8" borderId="1" xfId="0" applyNumberFormat="1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indent="1"/>
    </xf>
    <xf numFmtId="0" fontId="1" fillId="2" borderId="16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/>
    </xf>
    <xf numFmtId="0" fontId="0" fillId="0" borderId="34" xfId="0" applyBorder="1" applyAlignment="1">
      <alignment horizontal="left" vertical="center" indent="1"/>
    </xf>
    <xf numFmtId="2" fontId="0" fillId="8" borderId="19" xfId="0" applyNumberFormat="1" applyFill="1" applyBorder="1" applyAlignment="1">
      <alignment horizontal="left" vertical="center" indent="1"/>
    </xf>
    <xf numFmtId="1" fontId="0" fillId="8" borderId="1" xfId="0" applyNumberFormat="1" applyFill="1" applyBorder="1" applyAlignment="1">
      <alignment horizontal="left" vertical="center" indent="1"/>
    </xf>
    <xf numFmtId="1" fontId="0" fillId="8" borderId="1" xfId="0" applyNumberFormat="1" applyFill="1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8" borderId="19" xfId="0" applyFill="1" applyBorder="1" applyAlignment="1">
      <alignment horizontal="left" vertical="center" indent="1"/>
    </xf>
    <xf numFmtId="1" fontId="0" fillId="8" borderId="4" xfId="0" applyNumberFormat="1" applyFill="1" applyBorder="1" applyAlignment="1">
      <alignment horizontal="left" vertical="center" indent="1"/>
    </xf>
    <xf numFmtId="0" fontId="0" fillId="0" borderId="20" xfId="0" applyBorder="1" applyAlignment="1">
      <alignment vertical="center" wrapText="1"/>
    </xf>
    <xf numFmtId="0" fontId="0" fillId="0" borderId="35" xfId="0" applyBorder="1" applyAlignment="1">
      <alignment horizontal="left" vertical="center" indent="1"/>
    </xf>
    <xf numFmtId="0" fontId="0" fillId="0" borderId="40" xfId="0" applyBorder="1" applyAlignment="1">
      <alignment horizontal="left" vertical="center" indent="1"/>
    </xf>
    <xf numFmtId="0" fontId="0" fillId="0" borderId="26" xfId="0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0" fillId="0" borderId="20" xfId="0" applyBorder="1" applyAlignment="1">
      <alignment horizontal="left" vertical="center"/>
    </xf>
    <xf numFmtId="1" fontId="0" fillId="3" borderId="1" xfId="0" applyNumberFormat="1" applyFill="1" applyBorder="1" applyAlignment="1">
      <alignment horizontal="center" vertical="center"/>
    </xf>
    <xf numFmtId="0" fontId="1" fillId="0" borderId="35" xfId="0" applyFont="1" applyBorder="1" applyAlignment="1">
      <alignment horizontal="left" vertical="center" indent="1"/>
    </xf>
    <xf numFmtId="2" fontId="1" fillId="8" borderId="19" xfId="0" applyNumberFormat="1" applyFont="1" applyFill="1" applyBorder="1" applyAlignment="1">
      <alignment horizontal="left" vertical="center" indent="1"/>
    </xf>
    <xf numFmtId="1" fontId="1" fillId="8" borderId="1" xfId="0" applyNumberFormat="1" applyFont="1" applyFill="1" applyBorder="1" applyAlignment="1">
      <alignment horizontal="left" vertical="center" indent="1"/>
    </xf>
    <xf numFmtId="1" fontId="1" fillId="8" borderId="1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horizontal="left" vertical="center" indent="1"/>
    </xf>
    <xf numFmtId="1" fontId="1" fillId="8" borderId="14" xfId="0" applyNumberFormat="1" applyFont="1" applyFill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2" fontId="1" fillId="2" borderId="19" xfId="0" applyNumberFormat="1" applyFont="1" applyFill="1" applyBorder="1" applyAlignment="1">
      <alignment horizontal="left" vertical="center" indent="1"/>
    </xf>
    <xf numFmtId="1" fontId="1" fillId="2" borderId="1" xfId="0" applyNumberFormat="1" applyFont="1" applyFill="1" applyBorder="1" applyAlignment="1">
      <alignment horizontal="left" vertical="center" inden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45" xfId="0" applyFont="1" applyBorder="1" applyAlignment="1">
      <alignment horizontal="left" vertical="center" indent="1"/>
    </xf>
    <xf numFmtId="0" fontId="0" fillId="2" borderId="22" xfId="0" applyFill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14" fillId="0" borderId="26" xfId="0" applyFont="1" applyBorder="1" applyAlignment="1">
      <alignment vertical="center"/>
    </xf>
    <xf numFmtId="0" fontId="1" fillId="2" borderId="47" xfId="0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1" fillId="2" borderId="16" xfId="0" applyFont="1" applyFill="1" applyBorder="1" applyAlignment="1">
      <alignment horizontal="left" vertical="center" indent="1"/>
    </xf>
    <xf numFmtId="0" fontId="1" fillId="2" borderId="17" xfId="0" applyFont="1" applyFill="1" applyBorder="1" applyAlignment="1">
      <alignment horizontal="left" vertical="center" indent="1"/>
    </xf>
    <xf numFmtId="0" fontId="1" fillId="2" borderId="3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19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45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1" fillId="2" borderId="18" xfId="0" applyFont="1" applyFill="1" applyBorder="1" applyAlignment="1">
      <alignment horizontal="left" vertical="center"/>
    </xf>
    <xf numFmtId="0" fontId="0" fillId="0" borderId="45" xfId="0" applyBorder="1" applyAlignment="1">
      <alignment horizontal="left" vertical="center" indent="1"/>
    </xf>
    <xf numFmtId="0" fontId="0" fillId="0" borderId="42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1" fontId="15" fillId="0" borderId="14" xfId="0" applyNumberFormat="1" applyFont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50" xfId="0" applyBorder="1" applyAlignment="1">
      <alignment horizontal="right" vertical="center"/>
    </xf>
    <xf numFmtId="0" fontId="0" fillId="0" borderId="53" xfId="0" applyBorder="1" applyAlignment="1">
      <alignment horizontal="left" vertical="center"/>
    </xf>
    <xf numFmtId="0" fontId="11" fillId="0" borderId="0" xfId="0" applyFont="1"/>
    <xf numFmtId="2" fontId="11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indent="1"/>
    </xf>
    <xf numFmtId="2" fontId="1" fillId="0" borderId="0" xfId="0" applyNumberFormat="1" applyFont="1" applyAlignment="1">
      <alignment horizontal="center" vertical="center"/>
    </xf>
    <xf numFmtId="2" fontId="0" fillId="0" borderId="2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1" applyNumberFormat="1" applyFont="1" applyBorder="1" applyAlignment="1">
      <alignment vertical="center"/>
    </xf>
    <xf numFmtId="2" fontId="0" fillId="0" borderId="1" xfId="1" applyNumberFormat="1" applyFont="1" applyBorder="1" applyAlignment="1">
      <alignment horizontal="center" vertical="center"/>
    </xf>
    <xf numFmtId="2" fontId="0" fillId="0" borderId="1" xfId="1" applyNumberFormat="1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0" fillId="0" borderId="22" xfId="0" applyNumberFormat="1" applyBorder="1" applyAlignment="1">
      <alignment horizontal="center" vertical="center"/>
    </xf>
    <xf numFmtId="2" fontId="0" fillId="0" borderId="22" xfId="1" applyNumberFormat="1" applyFont="1" applyBorder="1" applyAlignment="1">
      <alignment horizontal="center" vertical="center"/>
    </xf>
    <xf numFmtId="2" fontId="0" fillId="0" borderId="30" xfId="0" applyNumberFormat="1" applyBorder="1" applyAlignment="1">
      <alignment horizontal="center" vertical="center"/>
    </xf>
    <xf numFmtId="2" fontId="0" fillId="0" borderId="15" xfId="0" applyNumberFormat="1" applyBorder="1" applyAlignment="1">
      <alignment vertical="center"/>
    </xf>
    <xf numFmtId="2" fontId="0" fillId="0" borderId="0" xfId="1" applyNumberFormat="1" applyFont="1" applyBorder="1" applyAlignment="1">
      <alignment vertical="center"/>
    </xf>
    <xf numFmtId="2" fontId="0" fillId="9" borderId="0" xfId="0" applyNumberFormat="1" applyFill="1" applyAlignment="1">
      <alignment vertical="center"/>
    </xf>
    <xf numFmtId="2" fontId="12" fillId="8" borderId="2" xfId="0" applyNumberFormat="1" applyFont="1" applyFill="1" applyBorder="1"/>
    <xf numFmtId="0" fontId="10" fillId="0" borderId="2" xfId="0" applyFont="1" applyBorder="1"/>
    <xf numFmtId="0" fontId="1" fillId="2" borderId="1" xfId="0" applyFont="1" applyFill="1" applyBorder="1"/>
    <xf numFmtId="0" fontId="9" fillId="7" borderId="6" xfId="0" applyFont="1" applyFill="1" applyBorder="1"/>
    <xf numFmtId="0" fontId="9" fillId="7" borderId="7" xfId="0" applyFont="1" applyFill="1" applyBorder="1"/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2" fontId="1" fillId="0" borderId="2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1" fillId="2" borderId="3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 vertical="center"/>
    </xf>
    <xf numFmtId="43" fontId="0" fillId="0" borderId="0" xfId="3" applyFont="1" applyBorder="1" applyAlignment="1">
      <alignment vertical="center"/>
    </xf>
    <xf numFmtId="43" fontId="0" fillId="0" borderId="15" xfId="3" applyFont="1" applyBorder="1" applyAlignment="1">
      <alignment vertical="center"/>
    </xf>
    <xf numFmtId="43" fontId="0" fillId="0" borderId="1" xfId="3" applyFont="1" applyBorder="1" applyAlignment="1">
      <alignment vertical="center"/>
    </xf>
    <xf numFmtId="43" fontId="0" fillId="0" borderId="12" xfId="3" applyFont="1" applyBorder="1" applyAlignment="1">
      <alignment vertical="center"/>
    </xf>
    <xf numFmtId="1" fontId="15" fillId="0" borderId="0" xfId="0" applyNumberFormat="1" applyFont="1" applyAlignment="1">
      <alignment horizontal="center" vertical="center" wrapText="1"/>
    </xf>
    <xf numFmtId="1" fontId="16" fillId="0" borderId="0" xfId="1" applyNumberFormat="1" applyFont="1" applyFill="1" applyBorder="1" applyAlignment="1">
      <alignment horizontal="center" vertical="center" wrapText="1"/>
    </xf>
    <xf numFmtId="166" fontId="6" fillId="0" borderId="15" xfId="3" applyNumberFormat="1" applyFont="1" applyBorder="1" applyAlignment="1">
      <alignment horizontal="center" vertical="center" wrapText="1"/>
    </xf>
    <xf numFmtId="166" fontId="0" fillId="0" borderId="15" xfId="3" applyNumberFormat="1" applyFont="1" applyBorder="1" applyAlignment="1">
      <alignment vertical="center"/>
    </xf>
    <xf numFmtId="166" fontId="0" fillId="0" borderId="12" xfId="3" applyNumberFormat="1" applyFont="1" applyBorder="1" applyAlignment="1">
      <alignment vertical="center"/>
    </xf>
    <xf numFmtId="166" fontId="6" fillId="12" borderId="15" xfId="3" applyNumberFormat="1" applyFont="1" applyFill="1" applyBorder="1" applyAlignment="1">
      <alignment horizontal="center" vertical="center" wrapText="1"/>
    </xf>
    <xf numFmtId="2" fontId="1" fillId="12" borderId="1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21" fillId="13" borderId="33" xfId="5" applyFont="1" applyFill="1" applyBorder="1" applyAlignment="1">
      <alignment horizontal="center" vertical="center"/>
    </xf>
    <xf numFmtId="0" fontId="22" fillId="13" borderId="51" xfId="0" applyFont="1" applyFill="1" applyBorder="1" applyAlignment="1">
      <alignment vertical="center"/>
    </xf>
    <xf numFmtId="0" fontId="22" fillId="13" borderId="51" xfId="0" applyFont="1" applyFill="1" applyBorder="1" applyAlignment="1">
      <alignment horizontal="center" vertical="center"/>
    </xf>
    <xf numFmtId="0" fontId="22" fillId="13" borderId="51" xfId="0" applyFont="1" applyFill="1" applyBorder="1" applyAlignment="1">
      <alignment horizontal="center" vertical="center" wrapText="1"/>
    </xf>
    <xf numFmtId="0" fontId="17" fillId="14" borderId="33" xfId="0" applyFont="1" applyFill="1" applyBorder="1" applyAlignment="1">
      <alignment horizontal="center" vertical="center"/>
    </xf>
    <xf numFmtId="0" fontId="17" fillId="14" borderId="51" xfId="0" applyFont="1" applyFill="1" applyBorder="1" applyAlignment="1">
      <alignment horizontal="center" vertical="center"/>
    </xf>
    <xf numFmtId="0" fontId="17" fillId="15" borderId="51" xfId="0" applyFont="1" applyFill="1" applyBorder="1" applyAlignment="1">
      <alignment horizontal="center" vertical="center"/>
    </xf>
    <xf numFmtId="0" fontId="17" fillId="15" borderId="52" xfId="0" applyFont="1" applyFill="1" applyBorder="1" applyAlignment="1">
      <alignment horizontal="center" vertical="center"/>
    </xf>
    <xf numFmtId="0" fontId="23" fillId="14" borderId="52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43" fontId="6" fillId="0" borderId="15" xfId="3" applyFont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2" fontId="0" fillId="0" borderId="58" xfId="0" applyNumberFormat="1" applyBorder="1" applyAlignment="1">
      <alignment horizontal="right" vertical="top"/>
    </xf>
    <xf numFmtId="1" fontId="16" fillId="0" borderId="57" xfId="1" applyNumberFormat="1" applyFont="1" applyFill="1" applyBorder="1" applyAlignment="1">
      <alignment horizontal="center" vertical="center" wrapText="1"/>
    </xf>
    <xf numFmtId="43" fontId="0" fillId="0" borderId="54" xfId="0" applyNumberFormat="1" applyBorder="1" applyAlignment="1">
      <alignment horizontal="right" vertical="top"/>
    </xf>
    <xf numFmtId="1" fontId="16" fillId="0" borderId="54" xfId="1" applyNumberFormat="1" applyFont="1" applyFill="1" applyBorder="1" applyAlignment="1">
      <alignment horizontal="center" vertical="center" wrapText="1"/>
    </xf>
    <xf numFmtId="0" fontId="0" fillId="0" borderId="50" xfId="0" applyBorder="1" applyAlignment="1">
      <alignment horizontal="right" vertical="top"/>
    </xf>
    <xf numFmtId="43" fontId="0" fillId="0" borderId="59" xfId="0" applyNumberFormat="1" applyBorder="1" applyAlignment="1">
      <alignment horizontal="right" vertical="top"/>
    </xf>
    <xf numFmtId="0" fontId="0" fillId="0" borderId="50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1" fontId="16" fillId="0" borderId="59" xfId="1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2" xfId="0" applyBorder="1"/>
    <xf numFmtId="43" fontId="0" fillId="0" borderId="56" xfId="0" applyNumberFormat="1" applyBorder="1"/>
    <xf numFmtId="43" fontId="0" fillId="0" borderId="60" xfId="0" applyNumberFormat="1" applyBorder="1"/>
    <xf numFmtId="0" fontId="0" fillId="0" borderId="56" xfId="0" applyBorder="1"/>
    <xf numFmtId="2" fontId="0" fillId="0" borderId="60" xfId="0" applyNumberFormat="1" applyBorder="1"/>
    <xf numFmtId="1" fontId="0" fillId="0" borderId="11" xfId="0" applyNumberFormat="1" applyBorder="1"/>
    <xf numFmtId="43" fontId="0" fillId="0" borderId="58" xfId="0" applyNumberFormat="1" applyBorder="1" applyAlignment="1">
      <alignment horizontal="right" vertical="top"/>
    </xf>
    <xf numFmtId="43" fontId="0" fillId="0" borderId="13" xfId="0" applyNumberFormat="1" applyBorder="1" applyAlignment="1">
      <alignment horizontal="right" vertical="top"/>
    </xf>
    <xf numFmtId="43" fontId="0" fillId="0" borderId="53" xfId="0" applyNumberFormat="1" applyBorder="1" applyAlignment="1">
      <alignment horizontal="right" vertical="top"/>
    </xf>
    <xf numFmtId="43" fontId="0" fillId="0" borderId="53" xfId="0" applyNumberFormat="1" applyBorder="1"/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vertical="center"/>
    </xf>
    <xf numFmtId="0" fontId="24" fillId="0" borderId="15" xfId="0" applyFont="1" applyBorder="1" applyAlignment="1">
      <alignment horizontal="left" vertical="center"/>
    </xf>
    <xf numFmtId="2" fontId="0" fillId="0" borderId="0" xfId="0" applyNumberFormat="1"/>
    <xf numFmtId="1" fontId="0" fillId="0" borderId="0" xfId="0" applyNumberFormat="1"/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8" borderId="60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43" fontId="0" fillId="0" borderId="0" xfId="0" applyNumberFormat="1" applyAlignment="1">
      <alignment vertical="center"/>
    </xf>
    <xf numFmtId="2" fontId="0" fillId="9" borderId="1" xfId="0" applyNumberFormat="1" applyFill="1" applyBorder="1" applyAlignment="1">
      <alignment horizontal="center" vertical="center"/>
    </xf>
    <xf numFmtId="2" fontId="0" fillId="9" borderId="2" xfId="0" applyNumberFormat="1" applyFill="1" applyBorder="1" applyAlignment="1">
      <alignment horizontal="center"/>
    </xf>
    <xf numFmtId="2" fontId="10" fillId="9" borderId="1" xfId="0" applyNumberFormat="1" applyFont="1" applyFill="1" applyBorder="1" applyAlignment="1">
      <alignment horizontal="center" vertical="center"/>
    </xf>
    <xf numFmtId="2" fontId="0" fillId="9" borderId="1" xfId="0" applyNumberFormat="1" applyFill="1" applyBorder="1" applyAlignment="1">
      <alignment horizontal="left"/>
    </xf>
    <xf numFmtId="2" fontId="0" fillId="16" borderId="1" xfId="0" applyNumberFormat="1" applyFill="1" applyBorder="1" applyAlignment="1">
      <alignment horizontal="center" vertical="center"/>
    </xf>
    <xf numFmtId="43" fontId="6" fillId="9" borderId="15" xfId="3" applyFont="1" applyFill="1" applyBorder="1" applyAlignment="1">
      <alignment horizontal="center" vertical="center" wrapText="1"/>
    </xf>
    <xf numFmtId="43" fontId="6" fillId="9" borderId="1" xfId="3" applyFont="1" applyFill="1" applyBorder="1" applyAlignment="1">
      <alignment horizontal="center" vertical="center" wrapText="1"/>
    </xf>
    <xf numFmtId="0" fontId="6" fillId="9" borderId="0" xfId="2" applyFill="1" applyAlignment="1">
      <alignment horizontal="center" vertical="center" wrapText="1"/>
    </xf>
    <xf numFmtId="2" fontId="0" fillId="9" borderId="1" xfId="1" applyNumberFormat="1" applyFont="1" applyFill="1" applyBorder="1" applyAlignment="1">
      <alignment horizontal="center" vertical="center"/>
    </xf>
    <xf numFmtId="2" fontId="11" fillId="9" borderId="1" xfId="0" applyNumberFormat="1" applyFont="1" applyFill="1" applyBorder="1" applyAlignment="1">
      <alignment horizontal="center" vertical="center"/>
    </xf>
    <xf numFmtId="2" fontId="1" fillId="9" borderId="1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9" fillId="7" borderId="4" xfId="0" applyFont="1" applyFill="1" applyBorder="1"/>
    <xf numFmtId="0" fontId="10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6" fontId="6" fillId="0" borderId="0" xfId="3" applyNumberFormat="1" applyFont="1" applyBorder="1" applyAlignment="1">
      <alignment horizontal="center" vertical="center" wrapText="1"/>
    </xf>
    <xf numFmtId="43" fontId="6" fillId="0" borderId="0" xfId="3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/>
    </xf>
    <xf numFmtId="0" fontId="6" fillId="9" borderId="1" xfId="2" applyFill="1" applyBorder="1" applyAlignment="1">
      <alignment horizontal="center" vertical="center" wrapText="1"/>
    </xf>
    <xf numFmtId="0" fontId="25" fillId="9" borderId="15" xfId="0" applyFont="1" applyFill="1" applyBorder="1" applyAlignment="1">
      <alignment vertical="center"/>
    </xf>
    <xf numFmtId="1" fontId="25" fillId="12" borderId="15" xfId="0" applyNumberFormat="1" applyFont="1" applyFill="1" applyBorder="1" applyAlignment="1">
      <alignment vertical="center"/>
    </xf>
    <xf numFmtId="0" fontId="0" fillId="0" borderId="55" xfId="0" applyBorder="1" applyAlignment="1">
      <alignment vertical="center"/>
    </xf>
    <xf numFmtId="166" fontId="6" fillId="9" borderId="15" xfId="3" applyNumberFormat="1" applyFont="1" applyFill="1" applyBorder="1" applyAlignment="1">
      <alignment horizontal="center" vertical="center" wrapText="1"/>
    </xf>
    <xf numFmtId="166" fontId="0" fillId="0" borderId="1" xfId="3" applyNumberFormat="1" applyFont="1" applyBorder="1" applyAlignment="1">
      <alignment vertical="center"/>
    </xf>
    <xf numFmtId="43" fontId="0" fillId="0" borderId="11" xfId="3" applyFont="1" applyBorder="1" applyAlignment="1">
      <alignment vertical="center"/>
    </xf>
    <xf numFmtId="168" fontId="6" fillId="12" borderId="15" xfId="3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1" xfId="0" applyBorder="1"/>
    <xf numFmtId="1" fontId="0" fillId="1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6" fillId="12" borderId="52" xfId="0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8" borderId="15" xfId="0" applyFill="1" applyBorder="1" applyAlignment="1">
      <alignment horizontal="center" vertical="center"/>
    </xf>
    <xf numFmtId="43" fontId="0" fillId="19" borderId="15" xfId="3" applyFont="1" applyFill="1" applyBorder="1" applyAlignment="1">
      <alignment vertical="center"/>
    </xf>
    <xf numFmtId="43" fontId="0" fillId="19" borderId="1" xfId="3" applyFont="1" applyFill="1" applyBorder="1" applyAlignment="1">
      <alignment horizontal="right" vertical="center"/>
    </xf>
    <xf numFmtId="43" fontId="0" fillId="19" borderId="1" xfId="3" applyFont="1" applyFill="1" applyBorder="1" applyAlignment="1">
      <alignment vertical="center"/>
    </xf>
    <xf numFmtId="43" fontId="10" fillId="12" borderId="1" xfId="3" applyFont="1" applyFill="1" applyBorder="1" applyAlignment="1">
      <alignment vertical="center"/>
    </xf>
    <xf numFmtId="43" fontId="0" fillId="12" borderId="1" xfId="3" applyFont="1" applyFill="1" applyBorder="1" applyAlignment="1">
      <alignment vertical="center"/>
    </xf>
    <xf numFmtId="0" fontId="27" fillId="0" borderId="0" xfId="6" applyAlignment="1"/>
    <xf numFmtId="0" fontId="27" fillId="0" borderId="0" xfId="6">
      <alignment vertical="center"/>
    </xf>
    <xf numFmtId="0" fontId="28" fillId="20" borderId="1" xfId="6" applyFont="1" applyFill="1" applyBorder="1" applyAlignment="1">
      <alignment horizontal="center" vertical="center" wrapText="1" readingOrder="1"/>
    </xf>
    <xf numFmtId="0" fontId="28" fillId="20" borderId="61" xfId="6" applyFont="1" applyFill="1" applyBorder="1" applyAlignment="1">
      <alignment horizontal="center" vertical="center" wrapText="1" readingOrder="1"/>
    </xf>
    <xf numFmtId="0" fontId="28" fillId="20" borderId="62" xfId="6" applyFont="1" applyFill="1" applyBorder="1" applyAlignment="1">
      <alignment horizontal="center" vertical="center" wrapText="1" readingOrder="1"/>
    </xf>
    <xf numFmtId="1" fontId="29" fillId="21" borderId="63" xfId="6" applyNumberFormat="1" applyFont="1" applyFill="1" applyBorder="1" applyAlignment="1">
      <alignment horizontal="center" vertical="center" wrapText="1" readingOrder="1"/>
    </xf>
    <xf numFmtId="0" fontId="29" fillId="21" borderId="63" xfId="6" applyFont="1" applyFill="1" applyBorder="1" applyAlignment="1">
      <alignment horizontal="center" vertical="center" wrapText="1" readingOrder="1"/>
    </xf>
    <xf numFmtId="166" fontId="0" fillId="0" borderId="0" xfId="7" applyNumberFormat="1" applyFont="1" applyAlignment="1"/>
    <xf numFmtId="0" fontId="30" fillId="21" borderId="1" xfId="6" applyFont="1" applyFill="1" applyBorder="1" applyAlignment="1">
      <alignment horizontal="center" vertical="center" wrapText="1" readingOrder="1"/>
    </xf>
    <xf numFmtId="0" fontId="30" fillId="21" borderId="1" xfId="6" applyFont="1" applyFill="1" applyBorder="1" applyAlignment="1">
      <alignment horizontal="left" vertical="center" wrapText="1" readingOrder="1"/>
    </xf>
    <xf numFmtId="3" fontId="30" fillId="21" borderId="1" xfId="6" applyNumberFormat="1" applyFont="1" applyFill="1" applyBorder="1" applyAlignment="1">
      <alignment horizontal="center" vertical="center" wrapText="1" readingOrder="1"/>
    </xf>
    <xf numFmtId="43" fontId="0" fillId="0" borderId="0" xfId="7" applyFont="1" applyAlignment="1"/>
    <xf numFmtId="2" fontId="30" fillId="21" borderId="1" xfId="6" applyNumberFormat="1" applyFont="1" applyFill="1" applyBorder="1" applyAlignment="1">
      <alignment horizontal="center" vertical="center" wrapText="1" readingOrder="1"/>
    </xf>
    <xf numFmtId="9" fontId="30" fillId="21" borderId="1" xfId="6" applyNumberFormat="1" applyFont="1" applyFill="1" applyBorder="1" applyAlignment="1">
      <alignment horizontal="center" vertical="center" wrapText="1" readingOrder="1"/>
    </xf>
    <xf numFmtId="0" fontId="32" fillId="22" borderId="1" xfId="6" applyFont="1" applyFill="1" applyBorder="1" applyAlignment="1">
      <alignment horizontal="left" vertical="center" wrapText="1" readingOrder="1"/>
    </xf>
    <xf numFmtId="0" fontId="32" fillId="22" borderId="1" xfId="6" applyFont="1" applyFill="1" applyBorder="1" applyAlignment="1">
      <alignment horizontal="center" vertical="center" wrapText="1" readingOrder="1"/>
    </xf>
    <xf numFmtId="3" fontId="32" fillId="22" borderId="1" xfId="6" applyNumberFormat="1" applyFont="1" applyFill="1" applyBorder="1" applyAlignment="1">
      <alignment horizontal="center" vertical="center" wrapText="1" readingOrder="1"/>
    </xf>
    <xf numFmtId="0" fontId="30" fillId="21" borderId="63" xfId="6" applyFont="1" applyFill="1" applyBorder="1" applyAlignment="1">
      <alignment horizontal="left" vertical="center" wrapText="1" readingOrder="1"/>
    </xf>
    <xf numFmtId="0" fontId="32" fillId="21" borderId="63" xfId="6" applyFont="1" applyFill="1" applyBorder="1" applyAlignment="1">
      <alignment horizontal="left" vertical="center" wrapText="1" readingOrder="1"/>
    </xf>
    <xf numFmtId="0" fontId="31" fillId="21" borderId="63" xfId="6" applyFont="1" applyFill="1" applyBorder="1" applyAlignment="1">
      <alignment horizontal="center" vertical="center" wrapText="1" readingOrder="1"/>
    </xf>
    <xf numFmtId="1" fontId="31" fillId="21" borderId="63" xfId="6" applyNumberFormat="1" applyFont="1" applyFill="1" applyBorder="1" applyAlignment="1">
      <alignment horizontal="center" vertical="center" wrapText="1" readingOrder="1"/>
    </xf>
    <xf numFmtId="0" fontId="32" fillId="21" borderId="1" xfId="6" applyFont="1" applyFill="1" applyBorder="1" applyAlignment="1">
      <alignment horizontal="left" vertical="center" wrapText="1" readingOrder="1"/>
    </xf>
    <xf numFmtId="1" fontId="30" fillId="21" borderId="1" xfId="6" applyNumberFormat="1" applyFont="1" applyFill="1" applyBorder="1" applyAlignment="1">
      <alignment horizontal="center" vertical="center" wrapText="1" readingOrder="1"/>
    </xf>
    <xf numFmtId="0" fontId="33" fillId="0" borderId="1" xfId="0" applyFont="1" applyBorder="1" applyAlignment="1">
      <alignment horizontal="center"/>
    </xf>
    <xf numFmtId="2" fontId="6" fillId="19" borderId="15" xfId="3" applyNumberFormat="1" applyFont="1" applyFill="1" applyBorder="1" applyAlignment="1">
      <alignment horizontal="center" vertical="center" wrapText="1"/>
    </xf>
    <xf numFmtId="0" fontId="33" fillId="0" borderId="1" xfId="0" applyFont="1" applyBorder="1"/>
    <xf numFmtId="0" fontId="6" fillId="19" borderId="1" xfId="3" applyNumberFormat="1" applyFont="1" applyFill="1" applyBorder="1" applyAlignment="1">
      <alignment horizontal="center" vertical="center"/>
    </xf>
    <xf numFmtId="2" fontId="6" fillId="19" borderId="1" xfId="3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/>
    <xf numFmtId="0" fontId="11" fillId="0" borderId="2" xfId="0" applyFont="1" applyBorder="1" applyAlignment="1">
      <alignment horizontal="center" vertical="center" wrapText="1"/>
    </xf>
    <xf numFmtId="2" fontId="0" fillId="19" borderId="1" xfId="0" applyNumberFormat="1" applyFill="1" applyBorder="1" applyAlignment="1">
      <alignment horizontal="center" vertical="center"/>
    </xf>
    <xf numFmtId="2" fontId="10" fillId="19" borderId="1" xfId="0" applyNumberFormat="1" applyFont="1" applyFill="1" applyBorder="1" applyAlignment="1">
      <alignment horizontal="center" vertical="center"/>
    </xf>
    <xf numFmtId="2" fontId="0" fillId="19" borderId="1" xfId="0" applyNumberFormat="1" applyFill="1" applyBorder="1" applyAlignment="1">
      <alignment horizontal="center"/>
    </xf>
    <xf numFmtId="2" fontId="10" fillId="9" borderId="2" xfId="0" applyNumberFormat="1" applyFont="1" applyFill="1" applyBorder="1" applyAlignment="1">
      <alignment horizontal="center"/>
    </xf>
    <xf numFmtId="2" fontId="1" fillId="9" borderId="1" xfId="0" applyNumberFormat="1" applyFont="1" applyFill="1" applyBorder="1" applyAlignment="1">
      <alignment horizontal="center" vertical="center"/>
    </xf>
    <xf numFmtId="2" fontId="1" fillId="9" borderId="14" xfId="0" applyNumberFormat="1" applyFont="1" applyFill="1" applyBorder="1" applyAlignment="1">
      <alignment horizontal="center" vertical="center"/>
    </xf>
    <xf numFmtId="2" fontId="1" fillId="23" borderId="52" xfId="0" applyNumberFormat="1" applyFont="1" applyFill="1" applyBorder="1" applyAlignment="1">
      <alignment horizontal="center" vertical="center"/>
    </xf>
    <xf numFmtId="2" fontId="1" fillId="9" borderId="1" xfId="0" applyNumberFormat="1" applyFont="1" applyFill="1" applyBorder="1"/>
    <xf numFmtId="1" fontId="35" fillId="21" borderId="63" xfId="6" applyNumberFormat="1" applyFont="1" applyFill="1" applyBorder="1" applyAlignment="1">
      <alignment horizontal="center" vertical="center" wrapText="1" readingOrder="1"/>
    </xf>
    <xf numFmtId="0" fontId="32" fillId="21" borderId="1" xfId="6" applyFont="1" applyFill="1" applyBorder="1" applyAlignment="1">
      <alignment horizontal="center" vertical="center" wrapText="1" readingOrder="1"/>
    </xf>
    <xf numFmtId="9" fontId="35" fillId="21" borderId="63" xfId="7" applyNumberFormat="1" applyFont="1" applyFill="1" applyBorder="1" applyAlignment="1">
      <alignment horizontal="center" vertical="center" wrapText="1" readingOrder="1"/>
    </xf>
    <xf numFmtId="9" fontId="27" fillId="0" borderId="0" xfId="6" applyNumberFormat="1" applyAlignment="1"/>
    <xf numFmtId="9" fontId="29" fillId="21" borderId="63" xfId="6" applyNumberFormat="1" applyFont="1" applyFill="1" applyBorder="1" applyAlignment="1">
      <alignment horizontal="center" vertical="center" wrapText="1" readingOrder="1"/>
    </xf>
    <xf numFmtId="9" fontId="30" fillId="21" borderId="63" xfId="6" applyNumberFormat="1" applyFont="1" applyFill="1" applyBorder="1" applyAlignment="1">
      <alignment horizontal="left" vertical="center" wrapText="1" readingOrder="1"/>
    </xf>
    <xf numFmtId="9" fontId="31" fillId="21" borderId="63" xfId="6" applyNumberFormat="1" applyFont="1" applyFill="1" applyBorder="1" applyAlignment="1">
      <alignment horizontal="center" vertical="center" wrapText="1" readingOrder="1"/>
    </xf>
    <xf numFmtId="3" fontId="27" fillId="0" borderId="0" xfId="6" applyNumberFormat="1" applyAlignment="1"/>
    <xf numFmtId="2" fontId="1" fillId="9" borderId="14" xfId="0" applyNumberFormat="1" applyFont="1" applyFill="1" applyBorder="1"/>
    <xf numFmtId="2" fontId="1" fillId="23" borderId="52" xfId="0" applyNumberFormat="1" applyFont="1" applyFill="1" applyBorder="1"/>
    <xf numFmtId="2" fontId="33" fillId="0" borderId="0" xfId="0" applyNumberFormat="1" applyFont="1"/>
    <xf numFmtId="0" fontId="34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3" fillId="0" borderId="1" xfId="0" applyNumberFormat="1" applyFont="1" applyBorder="1"/>
    <xf numFmtId="2" fontId="33" fillId="0" borderId="1" xfId="0" applyNumberFormat="1" applyFont="1" applyBorder="1"/>
    <xf numFmtId="0" fontId="0" fillId="19" borderId="0" xfId="0" applyFill="1"/>
    <xf numFmtId="0" fontId="37" fillId="2" borderId="1" xfId="0" applyFont="1" applyFill="1" applyBorder="1" applyAlignment="1">
      <alignment horizontal="center" vertical="center" wrapText="1"/>
    </xf>
    <xf numFmtId="2" fontId="37" fillId="2" borderId="1" xfId="0" applyNumberFormat="1" applyFont="1" applyFill="1" applyBorder="1" applyAlignment="1">
      <alignment horizontal="center" vertical="center" wrapText="1"/>
    </xf>
    <xf numFmtId="2" fontId="37" fillId="2" borderId="1" xfId="0" applyNumberFormat="1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9" fillId="19" borderId="1" xfId="0" applyFont="1" applyFill="1" applyBorder="1" applyAlignment="1">
      <alignment horizontal="center" vertical="center"/>
    </xf>
    <xf numFmtId="0" fontId="39" fillId="19" borderId="15" xfId="3" applyNumberFormat="1" applyFont="1" applyFill="1" applyBorder="1" applyAlignment="1">
      <alignment horizontal="center" vertical="center"/>
    </xf>
    <xf numFmtId="2" fontId="39" fillId="19" borderId="15" xfId="3" applyNumberFormat="1" applyFont="1" applyFill="1" applyBorder="1" applyAlignment="1">
      <alignment horizontal="center" vertical="center" wrapText="1"/>
    </xf>
    <xf numFmtId="0" fontId="39" fillId="19" borderId="1" xfId="3" applyNumberFormat="1" applyFont="1" applyFill="1" applyBorder="1" applyAlignment="1">
      <alignment horizontal="center" vertical="center"/>
    </xf>
    <xf numFmtId="2" fontId="39" fillId="19" borderId="1" xfId="3" applyNumberFormat="1" applyFont="1" applyFill="1" applyBorder="1" applyAlignment="1">
      <alignment horizontal="center" vertical="center" wrapText="1"/>
    </xf>
    <xf numFmtId="0" fontId="33" fillId="19" borderId="0" xfId="0" applyFont="1" applyFill="1"/>
    <xf numFmtId="0" fontId="39" fillId="0" borderId="1" xfId="0" applyFont="1" applyBorder="1" applyAlignment="1">
      <alignment horizontal="center" vertical="center"/>
    </xf>
    <xf numFmtId="0" fontId="39" fillId="0" borderId="15" xfId="3" applyNumberFormat="1" applyFont="1" applyFill="1" applyBorder="1" applyAlignment="1">
      <alignment horizontal="center" vertical="center"/>
    </xf>
    <xf numFmtId="2" fontId="39" fillId="0" borderId="15" xfId="3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/>
    </xf>
    <xf numFmtId="0" fontId="38" fillId="19" borderId="1" xfId="0" applyFont="1" applyFill="1" applyBorder="1" applyAlignment="1">
      <alignment horizontal="center"/>
    </xf>
    <xf numFmtId="2" fontId="38" fillId="0" borderId="1" xfId="0" applyNumberFormat="1" applyFont="1" applyBorder="1" applyAlignment="1">
      <alignment horizontal="center"/>
    </xf>
    <xf numFmtId="2" fontId="38" fillId="19" borderId="1" xfId="0" applyNumberFormat="1" applyFont="1" applyFill="1" applyBorder="1" applyAlignment="1">
      <alignment horizontal="center"/>
    </xf>
    <xf numFmtId="2" fontId="40" fillId="24" borderId="1" xfId="3" applyNumberFormat="1" applyFont="1" applyFill="1" applyBorder="1" applyAlignment="1">
      <alignment horizontal="center" vertical="center"/>
    </xf>
    <xf numFmtId="2" fontId="40" fillId="24" borderId="1" xfId="3" applyNumberFormat="1" applyFont="1" applyFill="1" applyBorder="1" applyAlignment="1">
      <alignment horizontal="center" vertical="center" wrapText="1"/>
    </xf>
    <xf numFmtId="2" fontId="40" fillId="24" borderId="15" xfId="3" applyNumberFormat="1" applyFont="1" applyFill="1" applyBorder="1" applyAlignment="1">
      <alignment horizontal="center" vertical="center" wrapText="1"/>
    </xf>
    <xf numFmtId="1" fontId="40" fillId="24" borderId="15" xfId="3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2" fontId="37" fillId="0" borderId="1" xfId="0" applyNumberFormat="1" applyFont="1" applyBorder="1" applyAlignment="1">
      <alignment horizontal="center" vertical="center"/>
    </xf>
    <xf numFmtId="2" fontId="37" fillId="24" borderId="1" xfId="0" applyNumberFormat="1" applyFont="1" applyFill="1" applyBorder="1" applyAlignment="1">
      <alignment horizontal="center" vertical="center"/>
    </xf>
    <xf numFmtId="1" fontId="37" fillId="24" borderId="1" xfId="0" applyNumberFormat="1" applyFont="1" applyFill="1" applyBorder="1" applyAlignment="1">
      <alignment horizontal="center" vertical="center"/>
    </xf>
    <xf numFmtId="2" fontId="39" fillId="19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2" fontId="37" fillId="25" borderId="1" xfId="0" applyNumberFormat="1" applyFont="1" applyFill="1" applyBorder="1" applyAlignment="1">
      <alignment horizontal="center" vertical="center"/>
    </xf>
    <xf numFmtId="1" fontId="37" fillId="25" borderId="1" xfId="0" applyNumberFormat="1" applyFont="1" applyFill="1" applyBorder="1" applyAlignment="1">
      <alignment horizontal="center" vertical="center"/>
    </xf>
    <xf numFmtId="1" fontId="37" fillId="0" borderId="1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1" fontId="38" fillId="0" borderId="1" xfId="0" applyNumberFormat="1" applyFont="1" applyBorder="1" applyAlignment="1">
      <alignment horizontal="center" vertical="center"/>
    </xf>
    <xf numFmtId="1" fontId="41" fillId="0" borderId="0" xfId="0" applyNumberFormat="1" applyFont="1"/>
    <xf numFmtId="0" fontId="3" fillId="0" borderId="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2" fontId="1" fillId="8" borderId="43" xfId="0" applyNumberFormat="1" applyFont="1" applyFill="1" applyBorder="1" applyAlignment="1">
      <alignment horizontal="center" vertical="center"/>
    </xf>
    <xf numFmtId="2" fontId="1" fillId="8" borderId="4" xfId="0" applyNumberFormat="1" applyFont="1" applyFill="1" applyBorder="1" applyAlignment="1">
      <alignment horizontal="center" vertical="center"/>
    </xf>
    <xf numFmtId="0" fontId="0" fillId="0" borderId="46" xfId="0" applyBorder="1" applyAlignment="1">
      <alignment horizontal="left" vertical="center" wrapText="1"/>
    </xf>
    <xf numFmtId="167" fontId="1" fillId="2" borderId="28" xfId="0" applyNumberFormat="1" applyFont="1" applyFill="1" applyBorder="1" applyAlignment="1">
      <alignment horizontal="center" vertical="center"/>
    </xf>
    <xf numFmtId="167" fontId="1" fillId="2" borderId="29" xfId="0" applyNumberFormat="1" applyFont="1" applyFill="1" applyBorder="1" applyAlignment="1">
      <alignment horizontal="center" vertical="center"/>
    </xf>
    <xf numFmtId="15" fontId="5" fillId="2" borderId="32" xfId="0" applyNumberFormat="1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8" borderId="37" xfId="0" applyFill="1" applyBorder="1" applyAlignment="1">
      <alignment horizontal="left" vertical="center" indent="1"/>
    </xf>
    <xf numFmtId="0" fontId="0" fillId="8" borderId="39" xfId="0" applyFill="1" applyBorder="1" applyAlignment="1">
      <alignment horizontal="left" vertical="center" indent="1"/>
    </xf>
    <xf numFmtId="1" fontId="0" fillId="8" borderId="14" xfId="0" applyNumberFormat="1" applyFill="1" applyBorder="1" applyAlignment="1">
      <alignment horizontal="left" vertical="center" indent="1"/>
    </xf>
    <xf numFmtId="1" fontId="0" fillId="8" borderId="15" xfId="0" applyNumberFormat="1" applyFill="1" applyBorder="1" applyAlignment="1">
      <alignment horizontal="left" vertical="center" indent="1"/>
    </xf>
    <xf numFmtId="1" fontId="38" fillId="0" borderId="14" xfId="0" applyNumberFormat="1" applyFont="1" applyBorder="1" applyAlignment="1">
      <alignment horizontal="center" vertical="center"/>
    </xf>
    <xf numFmtId="1" fontId="38" fillId="0" borderId="15" xfId="0" applyNumberFormat="1" applyFont="1" applyBorder="1" applyAlignment="1">
      <alignment horizontal="center" vertical="center"/>
    </xf>
    <xf numFmtId="0" fontId="37" fillId="24" borderId="2" xfId="0" applyFont="1" applyFill="1" applyBorder="1" applyAlignment="1">
      <alignment horizontal="center" vertical="center"/>
    </xf>
    <xf numFmtId="0" fontId="37" fillId="24" borderId="3" xfId="0" applyFont="1" applyFill="1" applyBorder="1" applyAlignment="1">
      <alignment horizontal="center" vertical="center"/>
    </xf>
    <xf numFmtId="0" fontId="37" fillId="24" borderId="4" xfId="0" applyFont="1" applyFill="1" applyBorder="1" applyAlignment="1">
      <alignment horizontal="center" vertical="center"/>
    </xf>
    <xf numFmtId="2" fontId="37" fillId="2" borderId="1" xfId="0" applyNumberFormat="1" applyFont="1" applyFill="1" applyBorder="1" applyAlignment="1">
      <alignment horizontal="center" vertical="center"/>
    </xf>
    <xf numFmtId="0" fontId="37" fillId="7" borderId="1" xfId="0" quotePrefix="1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/>
    </xf>
    <xf numFmtId="0" fontId="37" fillId="2" borderId="3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2" fontId="37" fillId="2" borderId="2" xfId="0" applyNumberFormat="1" applyFont="1" applyFill="1" applyBorder="1" applyAlignment="1">
      <alignment horizontal="center" vertical="center"/>
    </xf>
    <xf numFmtId="2" fontId="37" fillId="2" borderId="4" xfId="0" applyNumberFormat="1" applyFont="1" applyFill="1" applyBorder="1" applyAlignment="1">
      <alignment horizontal="center" vertical="center"/>
    </xf>
    <xf numFmtId="0" fontId="37" fillId="24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55" xfId="0" applyFont="1" applyBorder="1" applyAlignment="1">
      <alignment horizontal="center" vertical="center"/>
    </xf>
    <xf numFmtId="0" fontId="37" fillId="0" borderId="65" xfId="0" applyFont="1" applyBorder="1" applyAlignment="1">
      <alignment horizontal="center" vertical="center"/>
    </xf>
    <xf numFmtId="0" fontId="37" fillId="25" borderId="2" xfId="0" applyFont="1" applyFill="1" applyBorder="1" applyAlignment="1">
      <alignment horizontal="center" vertical="center"/>
    </xf>
    <xf numFmtId="0" fontId="37" fillId="25" borderId="3" xfId="0" applyFont="1" applyFill="1" applyBorder="1" applyAlignment="1">
      <alignment horizontal="center" vertical="center"/>
    </xf>
    <xf numFmtId="0" fontId="37" fillId="25" borderId="4" xfId="0" applyFont="1" applyFill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12" borderId="1" xfId="0" applyFill="1" applyBorder="1" applyAlignment="1">
      <alignment horizontal="left" vertical="center"/>
    </xf>
    <xf numFmtId="0" fontId="18" fillId="12" borderId="10" xfId="0" applyFont="1" applyFill="1" applyBorder="1" applyAlignment="1">
      <alignment horizontal="center" vertical="center"/>
    </xf>
    <xf numFmtId="0" fontId="18" fillId="12" borderId="12" xfId="0" applyFont="1" applyFill="1" applyBorder="1" applyAlignment="1">
      <alignment horizontal="center" vertical="center"/>
    </xf>
    <xf numFmtId="0" fontId="18" fillId="12" borderId="11" xfId="0" applyFont="1" applyFill="1" applyBorder="1" applyAlignment="1">
      <alignment horizontal="center" vertical="center"/>
    </xf>
    <xf numFmtId="0" fontId="19" fillId="12" borderId="10" xfId="0" applyFont="1" applyFill="1" applyBorder="1" applyAlignment="1">
      <alignment vertical="center"/>
    </xf>
    <xf numFmtId="0" fontId="19" fillId="12" borderId="12" xfId="0" applyFont="1" applyFill="1" applyBorder="1" applyAlignment="1">
      <alignment vertical="center"/>
    </xf>
    <xf numFmtId="0" fontId="19" fillId="12" borderId="11" xfId="0" applyFont="1" applyFill="1" applyBorder="1" applyAlignment="1">
      <alignment vertical="center"/>
    </xf>
    <xf numFmtId="0" fontId="22" fillId="13" borderId="10" xfId="0" applyFont="1" applyFill="1" applyBorder="1" applyAlignment="1">
      <alignment horizontal="center" vertical="center" wrapText="1"/>
    </xf>
    <xf numFmtId="0" fontId="22" fillId="13" borderId="12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2" fontId="1" fillId="9" borderId="12" xfId="0" applyNumberFormat="1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2" xfId="1" applyNumberFormat="1" applyFont="1" applyBorder="1" applyAlignment="1">
      <alignment horizontal="center" vertical="center" wrapText="1"/>
    </xf>
    <xf numFmtId="2" fontId="0" fillId="0" borderId="4" xfId="1" applyNumberFormat="1" applyFont="1" applyBorder="1" applyAlignment="1">
      <alignment horizontal="center" vertical="center" wrapText="1"/>
    </xf>
    <xf numFmtId="0" fontId="28" fillId="20" borderId="61" xfId="6" applyFont="1" applyFill="1" applyBorder="1" applyAlignment="1">
      <alignment horizontal="center" vertical="center" wrapText="1" readingOrder="1"/>
    </xf>
    <xf numFmtId="0" fontId="28" fillId="20" borderId="62" xfId="6" applyFont="1" applyFill="1" applyBorder="1" applyAlignment="1">
      <alignment horizontal="center" vertical="center" wrapText="1" readingOrder="1"/>
    </xf>
    <xf numFmtId="1" fontId="36" fillId="21" borderId="61" xfId="6" applyNumberFormat="1" applyFont="1" applyFill="1" applyBorder="1" applyAlignment="1">
      <alignment horizontal="center" vertical="center" wrapText="1" readingOrder="1"/>
    </xf>
    <xf numFmtId="1" fontId="36" fillId="21" borderId="64" xfId="6" applyNumberFormat="1" applyFont="1" applyFill="1" applyBorder="1" applyAlignment="1">
      <alignment horizontal="center" vertical="center" wrapText="1" readingOrder="1"/>
    </xf>
    <xf numFmtId="1" fontId="36" fillId="21" borderId="62" xfId="6" applyNumberFormat="1" applyFont="1" applyFill="1" applyBorder="1" applyAlignment="1">
      <alignment horizontal="center" vertical="center" wrapText="1" readingOrder="1"/>
    </xf>
    <xf numFmtId="0" fontId="28" fillId="20" borderId="1" xfId="6" applyFont="1" applyFill="1" applyBorder="1" applyAlignment="1">
      <alignment horizontal="center" vertical="center" wrapText="1" readingOrder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5" fontId="1" fillId="2" borderId="17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</cellXfs>
  <cellStyles count="8">
    <cellStyle name="Comma" xfId="3" builtinId="3"/>
    <cellStyle name="Comma 2" xfId="1" xr:uid="{00000000-0005-0000-0000-000001000000}"/>
    <cellStyle name="Comma 3" xfId="7" xr:uid="{70BD9F95-082F-47BA-81F4-1C0097752600}"/>
    <cellStyle name="Hyperlink" xfId="5" builtinId="8"/>
    <cellStyle name="Normal" xfId="0" builtinId="0"/>
    <cellStyle name="Normal 2" xfId="2" xr:uid="{00000000-0005-0000-0000-000004000000}"/>
    <cellStyle name="Normal 3" xfId="6" xr:uid="{CF8E7908-13AB-4AB2-9B2A-DAEC92327B84}"/>
    <cellStyle name="Normal 6" xfId="4" xr:uid="{00000000-0005-0000-0000-000005000000}"/>
  </cellStyles>
  <dxfs count="0"/>
  <tableStyles count="0" defaultTableStyle="TableStyleMedium2" defaultPivotStyle="PivotStyleLight16"/>
  <colors>
    <mruColors>
      <color rgb="FFFFFFCC"/>
      <color rgb="FF98F2F0"/>
      <color rgb="FFFFFF99"/>
      <color rgb="FFD4E2B8"/>
      <color rgb="FFAAF4F2"/>
      <color rgb="FFDAF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%20Drawings\PROJECTS\014_MANAPAKKAM\RERA%20WORKING\ARCHIVE\20191225\RERA%20WORKING%20MANAPAKKAM%20201912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%20Drawings\Users\pgs\AppData\Local\Microsoft\Windows\INetCache\Content.Outlook\WJDJHKUH\AREA%20STATEMENT%20-%2020200330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EA"/>
      <sheetName val="DETAILED TABULATION"/>
      <sheetName val="SUMMARY"/>
    </sheetNames>
    <sheetDataSet>
      <sheetData sheetId="0">
        <row r="19">
          <cell r="B19">
            <v>11944.9853</v>
          </cell>
        </row>
        <row r="33">
          <cell r="B33">
            <v>9868.4456000000009</v>
          </cell>
          <cell r="D33">
            <v>807.04000000000008</v>
          </cell>
          <cell r="E33">
            <v>72.040099999999995</v>
          </cell>
          <cell r="F33">
            <v>205.00990000000002</v>
          </cell>
          <cell r="G33">
            <v>306.94632000000001</v>
          </cell>
          <cell r="H33">
            <v>7221.8527800000002</v>
          </cell>
        </row>
        <row r="48">
          <cell r="B48">
            <v>9898.9725000000017</v>
          </cell>
          <cell r="D48">
            <v>824.68500000000006</v>
          </cell>
          <cell r="E48">
            <v>72.8399</v>
          </cell>
          <cell r="F48">
            <v>205.00990000000002</v>
          </cell>
          <cell r="G48">
            <v>306.94632000000001</v>
          </cell>
          <cell r="H48">
            <v>7084.7187800000002</v>
          </cell>
        </row>
        <row r="63">
          <cell r="B63">
            <v>9868.4456000000009</v>
          </cell>
          <cell r="D63">
            <v>824.68500000000006</v>
          </cell>
          <cell r="E63">
            <v>72.040099999999995</v>
          </cell>
          <cell r="F63">
            <v>205.00990000000002</v>
          </cell>
          <cell r="G63">
            <v>306.94632000000001</v>
          </cell>
          <cell r="H63">
            <v>7084.7187800000002</v>
          </cell>
        </row>
        <row r="78">
          <cell r="B78">
            <v>9898.9725000000017</v>
          </cell>
          <cell r="D78">
            <v>823.42500000000007</v>
          </cell>
          <cell r="E78">
            <v>72.8399</v>
          </cell>
          <cell r="F78">
            <v>205.00990000000002</v>
          </cell>
          <cell r="G78">
            <v>306.94632000000001</v>
          </cell>
          <cell r="H78">
            <v>7084.7187800000002</v>
          </cell>
        </row>
        <row r="93">
          <cell r="B93">
            <v>7628.1733000000004</v>
          </cell>
          <cell r="D93">
            <v>62.440000000000005</v>
          </cell>
          <cell r="E93">
            <v>81.05</v>
          </cell>
          <cell r="F93">
            <v>364.76</v>
          </cell>
          <cell r="G93">
            <v>273.71653000000003</v>
          </cell>
          <cell r="H93">
            <v>5906.2840699999997</v>
          </cell>
        </row>
        <row r="108">
          <cell r="B108">
            <v>15397.977900000002</v>
          </cell>
          <cell r="D108">
            <v>145.51999999999998</v>
          </cell>
          <cell r="E108">
            <v>74.8</v>
          </cell>
          <cell r="F108">
            <v>727.59999999999991</v>
          </cell>
          <cell r="G108">
            <v>545.54980500000011</v>
          </cell>
          <cell r="H108">
            <v>11821.208094999998</v>
          </cell>
        </row>
        <row r="119">
          <cell r="B119">
            <v>887.0992</v>
          </cell>
          <cell r="E119">
            <v>147.84299999999999</v>
          </cell>
          <cell r="F119">
            <v>28.88</v>
          </cell>
          <cell r="H119">
            <v>661.70449999999994</v>
          </cell>
        </row>
        <row r="131">
          <cell r="B131">
            <v>301.38</v>
          </cell>
        </row>
        <row r="132">
          <cell r="B132">
            <v>247.49</v>
          </cell>
        </row>
        <row r="133">
          <cell r="B133">
            <v>35.520000000000003</v>
          </cell>
        </row>
        <row r="134">
          <cell r="B134">
            <v>104.625</v>
          </cell>
        </row>
        <row r="135">
          <cell r="B135">
            <v>5.76</v>
          </cell>
        </row>
        <row r="136">
          <cell r="B136">
            <v>46.8</v>
          </cell>
        </row>
      </sheetData>
      <sheetData sheetId="1">
        <row r="15">
          <cell r="H15">
            <v>5.76</v>
          </cell>
        </row>
        <row r="16">
          <cell r="H16">
            <v>278.14</v>
          </cell>
        </row>
        <row r="17">
          <cell r="H17">
            <v>336.79</v>
          </cell>
        </row>
        <row r="18">
          <cell r="H18">
            <v>458.76</v>
          </cell>
        </row>
        <row r="19">
          <cell r="H19">
            <v>514.83000000000004</v>
          </cell>
        </row>
        <row r="20">
          <cell r="H20">
            <v>104.63</v>
          </cell>
        </row>
        <row r="21">
          <cell r="H21">
            <v>46.8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 (2)"/>
      <sheetName val="Comparison"/>
      <sheetName val="BASEMENT"/>
      <sheetName val="STILT"/>
      <sheetName val="RESI"/>
      <sheetName val="CLUB"/>
      <sheetName val="DETAILED UNIT AREA TABULATION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H6">
            <v>25130.77</v>
          </cell>
        </row>
      </sheetData>
      <sheetData sheetId="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2"/>
  <sheetViews>
    <sheetView zoomScale="85" zoomScaleNormal="85" workbookViewId="0">
      <selection activeCell="I35" sqref="I35"/>
    </sheetView>
  </sheetViews>
  <sheetFormatPr defaultColWidth="8.81640625" defaultRowHeight="19.149999999999999" customHeight="1" x14ac:dyDescent="0.35"/>
  <cols>
    <col min="1" max="1" width="8.81640625" style="5"/>
    <col min="2" max="2" width="31.453125" style="5" customWidth="1"/>
    <col min="3" max="3" width="0.81640625" style="5" customWidth="1"/>
    <col min="4" max="4" width="10.26953125" style="25" bestFit="1" customWidth="1"/>
    <col min="5" max="5" width="8.7265625" style="25" bestFit="1" customWidth="1"/>
    <col min="6" max="6" width="2.7265625" style="1" hidden="1" customWidth="1"/>
    <col min="7" max="7" width="38.453125" style="64" customWidth="1"/>
    <col min="8" max="8" width="0.81640625" style="64" customWidth="1"/>
    <col min="9" max="9" width="10.26953125" style="65" customWidth="1"/>
    <col min="10" max="10" width="8.7265625" style="65" customWidth="1"/>
    <col min="11" max="11" width="39.26953125" style="64" customWidth="1"/>
    <col min="12" max="16384" width="8.81640625" style="5"/>
  </cols>
  <sheetData>
    <row r="1" spans="2:13" ht="4.9000000000000004" customHeight="1" thickBot="1" x14ac:dyDescent="0.4"/>
    <row r="2" spans="2:13" ht="19" thickBot="1" x14ac:dyDescent="0.4">
      <c r="B2" s="381">
        <v>43937</v>
      </c>
      <c r="D2" s="383" t="s">
        <v>70</v>
      </c>
      <c r="E2" s="384"/>
      <c r="F2" s="384"/>
      <c r="G2" s="385"/>
      <c r="I2" s="386" t="s">
        <v>71</v>
      </c>
      <c r="J2" s="387"/>
      <c r="K2" s="388"/>
    </row>
    <row r="3" spans="2:13" ht="14.5" customHeight="1" thickBot="1" x14ac:dyDescent="0.4">
      <c r="B3" s="382"/>
      <c r="D3" s="66" t="s">
        <v>12</v>
      </c>
      <c r="E3" s="67" t="s">
        <v>13</v>
      </c>
      <c r="F3" s="68" t="s">
        <v>72</v>
      </c>
      <c r="G3" s="69" t="s">
        <v>73</v>
      </c>
      <c r="I3" s="66" t="s">
        <v>12</v>
      </c>
      <c r="J3" s="67" t="s">
        <v>13</v>
      </c>
      <c r="K3" s="69" t="s">
        <v>73</v>
      </c>
    </row>
    <row r="4" spans="2:13" ht="24" customHeight="1" x14ac:dyDescent="0.35">
      <c r="B4" s="70" t="s">
        <v>2</v>
      </c>
      <c r="D4" s="71" t="e">
        <f>#REF!</f>
        <v>#REF!</v>
      </c>
      <c r="E4" s="72" t="e">
        <f>D4*10.764</f>
        <v>#REF!</v>
      </c>
      <c r="F4" s="73"/>
      <c r="G4" s="74" t="s">
        <v>74</v>
      </c>
      <c r="I4" s="75">
        <f>'[1]DETAILED TABULATION'!$H$16+'[1]DETAILED TABULATION'!$H$17</f>
        <v>614.93000000000006</v>
      </c>
      <c r="J4" s="76">
        <f>I4*10.764</f>
        <v>6619.1065200000003</v>
      </c>
      <c r="K4" s="77" t="s">
        <v>75</v>
      </c>
    </row>
    <row r="5" spans="2:13" ht="24" customHeight="1" x14ac:dyDescent="0.35">
      <c r="B5" s="78" t="s">
        <v>76</v>
      </c>
      <c r="D5" s="71" t="e">
        <f>STILT!#REF!</f>
        <v>#REF!</v>
      </c>
      <c r="E5" s="72" t="e">
        <f t="shared" ref="E5:E18" si="0">D5*10.764</f>
        <v>#REF!</v>
      </c>
      <c r="F5" s="73"/>
      <c r="G5" s="374" t="s">
        <v>77</v>
      </c>
      <c r="I5" s="389">
        <f>'[1]DETAILED TABULATION'!$H$19</f>
        <v>514.83000000000004</v>
      </c>
      <c r="J5" s="391">
        <f>I5*10.764</f>
        <v>5541.6301199999998</v>
      </c>
      <c r="K5" s="374" t="s">
        <v>78</v>
      </c>
    </row>
    <row r="6" spans="2:13" ht="19.149999999999999" customHeight="1" x14ac:dyDescent="0.35">
      <c r="B6" s="78" t="s">
        <v>79</v>
      </c>
      <c r="D6" s="71">
        <f>STILT!L16</f>
        <v>0</v>
      </c>
      <c r="E6" s="72">
        <f t="shared" si="0"/>
        <v>0</v>
      </c>
      <c r="F6" s="73"/>
      <c r="G6" s="375"/>
      <c r="I6" s="390"/>
      <c r="J6" s="392"/>
      <c r="K6" s="375"/>
    </row>
    <row r="7" spans="2:13" ht="4.9000000000000004" customHeight="1" x14ac:dyDescent="0.35">
      <c r="B7" s="79"/>
      <c r="D7" s="59"/>
      <c r="G7" s="80"/>
      <c r="I7" s="59"/>
      <c r="J7" s="25"/>
      <c r="K7" s="81"/>
    </row>
    <row r="8" spans="2:13" ht="19.149999999999999" customHeight="1" x14ac:dyDescent="0.35">
      <c r="B8" s="78" t="s">
        <v>80</v>
      </c>
      <c r="D8" s="71">
        <f>'COMMON AREA'!F10</f>
        <v>645.15</v>
      </c>
      <c r="E8" s="72">
        <f t="shared" si="0"/>
        <v>6944.3945999999996</v>
      </c>
      <c r="F8" s="73"/>
      <c r="G8" s="374" t="s">
        <v>81</v>
      </c>
      <c r="I8" s="71">
        <f>SUM([1]AREA!$E$33:$H$33)+SUM([1]AREA!$E$48:$H$48)+SUM([1]AREA!$E$63:$H$63)+SUM([1]AREA!$E$78:$H$78)</f>
        <v>30813.594000000005</v>
      </c>
      <c r="J8" s="76">
        <f t="shared" ref="J8:J9" si="1">I8*10.764</f>
        <v>331677.52581600001</v>
      </c>
      <c r="K8" s="374" t="s">
        <v>82</v>
      </c>
      <c r="M8" s="57"/>
    </row>
    <row r="9" spans="2:13" ht="19.149999999999999" customHeight="1" x14ac:dyDescent="0.35">
      <c r="B9" s="78" t="s">
        <v>83</v>
      </c>
      <c r="D9" s="71" t="e">
        <f>'COMMON AREA'!#REF!</f>
        <v>#REF!</v>
      </c>
      <c r="E9" s="72" t="e">
        <f t="shared" si="0"/>
        <v>#REF!</v>
      </c>
      <c r="F9" s="73"/>
      <c r="G9" s="375"/>
      <c r="I9" s="71">
        <f>SUM([1]AREA!$E$93:$H$93)+SUM([1]AREA!$E$108:$H$108)</f>
        <v>19794.968499999999</v>
      </c>
      <c r="J9" s="76">
        <f t="shared" si="1"/>
        <v>213073.04093399999</v>
      </c>
      <c r="K9" s="375"/>
    </row>
    <row r="10" spans="2:13" ht="4.9000000000000004" customHeight="1" x14ac:dyDescent="0.35">
      <c r="B10" s="79"/>
      <c r="D10" s="59"/>
      <c r="G10" s="80"/>
      <c r="I10" s="59"/>
      <c r="J10" s="25"/>
      <c r="K10" s="81"/>
    </row>
    <row r="11" spans="2:13" ht="19.149999999999999" customHeight="1" x14ac:dyDescent="0.35">
      <c r="B11" s="78" t="s">
        <v>3</v>
      </c>
      <c r="D11" s="71" t="e">
        <f>#REF!</f>
        <v>#REF!</v>
      </c>
      <c r="E11" s="72" t="e">
        <f t="shared" si="0"/>
        <v>#REF!</v>
      </c>
      <c r="F11" s="73">
        <v>1</v>
      </c>
      <c r="G11" s="82" t="s">
        <v>84</v>
      </c>
      <c r="I11" s="71">
        <f>[1]AREA!$E$119+[1]AREA!$F$119+[1]AREA!$H$119</f>
        <v>838.4274999999999</v>
      </c>
      <c r="J11" s="76">
        <f t="shared" ref="J11:J14" si="2">I11*10.764</f>
        <v>9024.8336099999979</v>
      </c>
      <c r="K11" s="77"/>
    </row>
    <row r="12" spans="2:13" ht="19.149999999999999" customHeight="1" x14ac:dyDescent="0.35">
      <c r="B12" s="78" t="s">
        <v>5</v>
      </c>
      <c r="D12" s="75">
        <f>2.4*2.4</f>
        <v>5.76</v>
      </c>
      <c r="E12" s="72">
        <f t="shared" si="0"/>
        <v>62.000639999999997</v>
      </c>
      <c r="F12" s="73">
        <v>1</v>
      </c>
      <c r="G12" s="82"/>
      <c r="I12" s="75">
        <f>'[1]DETAILED TABULATION'!$H$15</f>
        <v>5.76</v>
      </c>
      <c r="J12" s="76">
        <f t="shared" si="2"/>
        <v>62.000639999999997</v>
      </c>
      <c r="K12" s="77"/>
    </row>
    <row r="13" spans="2:13" ht="19.149999999999999" customHeight="1" x14ac:dyDescent="0.35">
      <c r="B13" s="78" t="s">
        <v>6</v>
      </c>
      <c r="D13" s="75">
        <v>191.69</v>
      </c>
      <c r="E13" s="72">
        <f t="shared" si="0"/>
        <v>2063.3511599999997</v>
      </c>
      <c r="F13" s="73">
        <v>1</v>
      </c>
      <c r="G13" s="82" t="s">
        <v>85</v>
      </c>
      <c r="I13" s="75">
        <f>'[1]DETAILED TABULATION'!$H$20</f>
        <v>104.63</v>
      </c>
      <c r="J13" s="76">
        <f t="shared" si="2"/>
        <v>1126.23732</v>
      </c>
      <c r="K13" s="77"/>
    </row>
    <row r="14" spans="2:13" ht="19.149999999999999" customHeight="1" x14ac:dyDescent="0.35">
      <c r="B14" s="78" t="s">
        <v>7</v>
      </c>
      <c r="D14" s="75">
        <v>46.8</v>
      </c>
      <c r="E14" s="72">
        <f t="shared" si="0"/>
        <v>503.75519999999995</v>
      </c>
      <c r="F14" s="73">
        <v>1</v>
      </c>
      <c r="G14" s="82"/>
      <c r="I14" s="75">
        <f>'[1]DETAILED TABULATION'!$H$21</f>
        <v>46.8</v>
      </c>
      <c r="J14" s="76">
        <f t="shared" si="2"/>
        <v>503.75519999999995</v>
      </c>
      <c r="K14" s="77"/>
    </row>
    <row r="15" spans="2:13" ht="19.149999999999999" customHeight="1" x14ac:dyDescent="0.35">
      <c r="B15" s="78" t="s">
        <v>11</v>
      </c>
      <c r="D15" s="71" t="e">
        <f>'COMMON AREA'!#REF!</f>
        <v>#REF!</v>
      </c>
      <c r="E15" s="72" t="e">
        <f t="shared" si="0"/>
        <v>#REF!</v>
      </c>
      <c r="F15" s="83">
        <v>1</v>
      </c>
      <c r="G15" s="82"/>
      <c r="I15" s="75">
        <f>'[1]DETAILED TABULATION'!$H$18</f>
        <v>458.76</v>
      </c>
      <c r="J15" s="76">
        <f>I15*10.764</f>
        <v>4938.0926399999998</v>
      </c>
      <c r="K15" s="77"/>
    </row>
    <row r="16" spans="2:13" ht="19.149999999999999" customHeight="1" x14ac:dyDescent="0.35">
      <c r="B16" s="78" t="s">
        <v>48</v>
      </c>
      <c r="D16" s="71" t="e">
        <f>('COMMON AREA'!#REF!+'COMMON AREA'!#REF!)-('COMMON AREA'!F10+'COMMON AREA'!#REF!)</f>
        <v>#REF!</v>
      </c>
      <c r="E16" s="72" t="e">
        <f t="shared" si="0"/>
        <v>#REF!</v>
      </c>
      <c r="F16" s="83">
        <v>1</v>
      </c>
      <c r="G16" s="82" t="s">
        <v>95</v>
      </c>
      <c r="I16" s="75"/>
      <c r="J16" s="76"/>
      <c r="K16" s="77"/>
    </row>
    <row r="17" spans="2:11" ht="4.9000000000000004" customHeight="1" x14ac:dyDescent="0.35">
      <c r="B17" s="79"/>
      <c r="D17" s="59"/>
      <c r="G17" s="81"/>
      <c r="I17" s="59"/>
      <c r="J17" s="25"/>
      <c r="K17" s="81"/>
    </row>
    <row r="18" spans="2:11" ht="19.149999999999999" customHeight="1" x14ac:dyDescent="0.35">
      <c r="B18" s="84" t="s">
        <v>9</v>
      </c>
      <c r="D18" s="85" t="e">
        <f>SUM(D4:D9)+(D11*F11)+(D12*F12)+(D13*F13)+(D14*F14)+(D15*F15)+(D16*F16)</f>
        <v>#REF!</v>
      </c>
      <c r="E18" s="86" t="e">
        <f t="shared" si="0"/>
        <v>#REF!</v>
      </c>
      <c r="F18" s="87"/>
      <c r="G18" s="88"/>
      <c r="I18" s="85">
        <f>SUM(I4:I15)</f>
        <v>53192.700000000012</v>
      </c>
      <c r="J18" s="86">
        <f t="shared" ref="J18" si="3">I18*10.764</f>
        <v>572566.22280000011</v>
      </c>
      <c r="K18" s="89"/>
    </row>
    <row r="19" spans="2:11" ht="19.149999999999999" customHeight="1" x14ac:dyDescent="0.35">
      <c r="B19" s="90" t="s">
        <v>86</v>
      </c>
      <c r="D19" s="376" t="e">
        <f>D18/'[2]DETAILED UNIT AREA TABULATION'!$H$6</f>
        <v>#REF!</v>
      </c>
      <c r="E19" s="377"/>
      <c r="F19" s="91"/>
      <c r="G19" s="88"/>
      <c r="I19" s="376">
        <f>I18/'[2]DETAILED UNIT AREA TABULATION'!$H$6</f>
        <v>2.1166362988479865</v>
      </c>
      <c r="J19" s="377"/>
      <c r="K19" s="92"/>
    </row>
    <row r="20" spans="2:11" ht="19.149999999999999" customHeight="1" x14ac:dyDescent="0.35">
      <c r="B20" s="90" t="s">
        <v>87</v>
      </c>
      <c r="D20" s="93" t="e">
        <f>#REF!</f>
        <v>#REF!</v>
      </c>
      <c r="E20" s="94" t="e">
        <f t="shared" ref="E20" si="4">D20*10.764</f>
        <v>#REF!</v>
      </c>
      <c r="F20" s="95"/>
      <c r="G20" s="88"/>
      <c r="I20" s="93">
        <f>[1]AREA!$B$19+[1]AREA!$B$33+[1]AREA!$B$48+[1]AREA!$B$63+[1]AREA!$B$78+[1]AREA!$B$93+[1]AREA!$B$108+[1]AREA!$B$119-[1]AREA!$D$108-[1]AREA!$D$93-[1]AREA!$D$78-[1]AREA!$D$63-[1]AREA!$D$48-[1]AREA!$D$33+[1]AREA!$B$131+[1]AREA!$B$132+[1]AREA!$B$133+[1]AREA!$B$134+[1]AREA!$B$135+[1]AREA!$B$136</f>
        <v>72646.851900000023</v>
      </c>
      <c r="J20" s="94">
        <f t="shared" ref="J20" si="5">I20*10.764</f>
        <v>781970.71385160019</v>
      </c>
      <c r="K20" s="374" t="s">
        <v>88</v>
      </c>
    </row>
    <row r="21" spans="2:11" ht="19.149999999999999" customHeight="1" thickBot="1" x14ac:dyDescent="0.4">
      <c r="B21" s="96" t="s">
        <v>89</v>
      </c>
      <c r="D21" s="379" t="e">
        <f>E18/E20</f>
        <v>#REF!</v>
      </c>
      <c r="E21" s="380"/>
      <c r="F21" s="97"/>
      <c r="G21" s="98"/>
      <c r="I21" s="379">
        <f>I18/'[2]DETAILED UNIT AREA TABULATION'!$H$6</f>
        <v>2.1166362988479865</v>
      </c>
      <c r="J21" s="380"/>
      <c r="K21" s="378"/>
    </row>
    <row r="22" spans="2:11" ht="4.9000000000000004" customHeight="1" thickBot="1" x14ac:dyDescent="0.4">
      <c r="B22" s="99"/>
      <c r="D22" s="59"/>
      <c r="G22" s="100"/>
    </row>
    <row r="23" spans="2:11" ht="19.149999999999999" customHeight="1" x14ac:dyDescent="0.35">
      <c r="B23" s="101" t="s">
        <v>90</v>
      </c>
      <c r="C23" s="102"/>
      <c r="D23" s="103" t="s">
        <v>34</v>
      </c>
      <c r="E23" s="104" t="s">
        <v>36</v>
      </c>
      <c r="F23" s="105"/>
      <c r="G23" s="106" t="s">
        <v>91</v>
      </c>
      <c r="I23" s="103" t="s">
        <v>34</v>
      </c>
      <c r="J23" s="104" t="s">
        <v>36</v>
      </c>
      <c r="K23" s="106" t="s">
        <v>91</v>
      </c>
    </row>
    <row r="24" spans="2:11" ht="19.149999999999999" customHeight="1" x14ac:dyDescent="0.35">
      <c r="B24" s="107" t="s">
        <v>35</v>
      </c>
      <c r="D24" s="108">
        <v>70</v>
      </c>
      <c r="E24" s="109">
        <v>70</v>
      </c>
      <c r="F24" s="354">
        <f>SUM(D24:E26)</f>
        <v>392</v>
      </c>
      <c r="G24" s="355"/>
      <c r="I24" s="108">
        <v>70</v>
      </c>
      <c r="J24" s="109">
        <v>70</v>
      </c>
      <c r="K24" s="360">
        <f>SUM(I24:J26)</f>
        <v>392</v>
      </c>
    </row>
    <row r="25" spans="2:11" ht="19.149999999999999" customHeight="1" x14ac:dyDescent="0.35">
      <c r="B25" s="107" t="s">
        <v>33</v>
      </c>
      <c r="D25" s="108">
        <v>70</v>
      </c>
      <c r="E25" s="109">
        <v>70</v>
      </c>
      <c r="F25" s="356"/>
      <c r="G25" s="357"/>
      <c r="I25" s="108">
        <v>70</v>
      </c>
      <c r="J25" s="109">
        <v>70</v>
      </c>
      <c r="K25" s="361"/>
    </row>
    <row r="26" spans="2:11" ht="19.149999999999999" customHeight="1" thickBot="1" x14ac:dyDescent="0.4">
      <c r="B26" s="110" t="s">
        <v>37</v>
      </c>
      <c r="C26" s="111"/>
      <c r="D26" s="112">
        <v>56</v>
      </c>
      <c r="E26" s="113">
        <f>112-D26</f>
        <v>56</v>
      </c>
      <c r="F26" s="358"/>
      <c r="G26" s="359"/>
      <c r="I26" s="112">
        <v>56</v>
      </c>
      <c r="J26" s="113">
        <f>112-I26</f>
        <v>56</v>
      </c>
      <c r="K26" s="362"/>
    </row>
    <row r="27" spans="2:11" ht="4.9000000000000004" customHeight="1" thickBot="1" x14ac:dyDescent="0.4">
      <c r="B27" s="99"/>
      <c r="D27" s="59"/>
      <c r="G27" s="100"/>
      <c r="I27" s="25"/>
      <c r="J27" s="25"/>
      <c r="K27" s="13"/>
    </row>
    <row r="28" spans="2:11" ht="19.149999999999999" customHeight="1" x14ac:dyDescent="0.35">
      <c r="B28" s="101" t="s">
        <v>52</v>
      </c>
      <c r="C28" s="102"/>
      <c r="D28" s="103" t="s">
        <v>54</v>
      </c>
      <c r="E28" s="104" t="s">
        <v>55</v>
      </c>
      <c r="F28" s="363" t="s">
        <v>92</v>
      </c>
      <c r="G28" s="364"/>
      <c r="I28" s="103" t="s">
        <v>54</v>
      </c>
      <c r="J28" s="104" t="s">
        <v>55</v>
      </c>
      <c r="K28" s="114" t="s">
        <v>92</v>
      </c>
    </row>
    <row r="29" spans="2:11" ht="19.149999999999999" customHeight="1" x14ac:dyDescent="0.35">
      <c r="B29" s="78" t="s">
        <v>53</v>
      </c>
      <c r="D29" s="108">
        <v>20</v>
      </c>
      <c r="E29" s="109">
        <v>4</v>
      </c>
      <c r="F29" s="365">
        <f>SUM(D29:E32)</f>
        <v>525</v>
      </c>
      <c r="G29" s="366"/>
      <c r="I29" s="108">
        <v>20</v>
      </c>
      <c r="J29" s="109" t="s">
        <v>93</v>
      </c>
      <c r="K29" s="371">
        <f>SUM(I29:I32)</f>
        <v>446</v>
      </c>
    </row>
    <row r="30" spans="2:11" ht="19.149999999999999" customHeight="1" x14ac:dyDescent="0.35">
      <c r="B30" s="78" t="s">
        <v>50</v>
      </c>
      <c r="D30" s="108">
        <v>174</v>
      </c>
      <c r="E30" s="109">
        <v>35</v>
      </c>
      <c r="F30" s="367"/>
      <c r="G30" s="368"/>
      <c r="I30" s="108">
        <v>174</v>
      </c>
      <c r="J30" s="109" t="s">
        <v>93</v>
      </c>
      <c r="K30" s="372"/>
    </row>
    <row r="31" spans="2:11" ht="19.149999999999999" customHeight="1" x14ac:dyDescent="0.35">
      <c r="B31" s="116" t="s">
        <v>1</v>
      </c>
      <c r="D31" s="117">
        <v>212</v>
      </c>
      <c r="E31" s="118">
        <v>40</v>
      </c>
      <c r="F31" s="367"/>
      <c r="G31" s="368"/>
      <c r="I31" s="117">
        <v>212</v>
      </c>
      <c r="J31" s="109" t="s">
        <v>93</v>
      </c>
      <c r="K31" s="372"/>
    </row>
    <row r="32" spans="2:11" ht="19.149999999999999" customHeight="1" thickBot="1" x14ac:dyDescent="0.4">
      <c r="B32" s="115" t="s">
        <v>94</v>
      </c>
      <c r="C32" s="111"/>
      <c r="D32" s="112">
        <v>40</v>
      </c>
      <c r="E32" s="113"/>
      <c r="F32" s="369"/>
      <c r="G32" s="370"/>
      <c r="I32" s="112">
        <v>40</v>
      </c>
      <c r="J32" s="113" t="s">
        <v>93</v>
      </c>
      <c r="K32" s="373"/>
    </row>
  </sheetData>
  <mergeCells count="19">
    <mergeCell ref="B2:B3"/>
    <mergeCell ref="D2:G2"/>
    <mergeCell ref="I2:K2"/>
    <mergeCell ref="G5:G6"/>
    <mergeCell ref="I5:I6"/>
    <mergeCell ref="J5:J6"/>
    <mergeCell ref="K5:K6"/>
    <mergeCell ref="G8:G9"/>
    <mergeCell ref="K8:K9"/>
    <mergeCell ref="D19:E19"/>
    <mergeCell ref="I19:J19"/>
    <mergeCell ref="K20:K21"/>
    <mergeCell ref="D21:E21"/>
    <mergeCell ref="I21:J21"/>
    <mergeCell ref="F24:G26"/>
    <mergeCell ref="K24:K26"/>
    <mergeCell ref="F28:G28"/>
    <mergeCell ref="F29:G32"/>
    <mergeCell ref="K29:K32"/>
  </mergeCells>
  <pageMargins left="0.25" right="0.25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F1D1-6925-4EA1-98C0-7F22903B9B7E}">
  <dimension ref="A1:AR569"/>
  <sheetViews>
    <sheetView tabSelected="1" view="pageBreakPreview" zoomScale="60" zoomScaleNormal="40" workbookViewId="0">
      <pane ySplit="4" topLeftCell="A142" activePane="bottomLeft" state="frozen"/>
      <selection pane="bottomLeft" activeCell="X149" sqref="X149"/>
    </sheetView>
  </sheetViews>
  <sheetFormatPr defaultRowHeight="14.5" x14ac:dyDescent="0.35"/>
  <cols>
    <col min="1" max="1" width="13.81640625" customWidth="1"/>
    <col min="2" max="2" width="16.1796875" customWidth="1"/>
    <col min="3" max="3" width="16" style="28" customWidth="1"/>
    <col min="4" max="4" width="12.453125" customWidth="1"/>
    <col min="5" max="5" width="12.453125" hidden="1" customWidth="1"/>
    <col min="6" max="6" width="15.90625" customWidth="1"/>
    <col min="7" max="7" width="16.1796875" customWidth="1"/>
    <col min="8" max="8" width="16.08984375" customWidth="1"/>
    <col min="9" max="10" width="18.08984375" hidden="1" customWidth="1"/>
    <col min="11" max="11" width="12.08984375" hidden="1" customWidth="1"/>
    <col min="12" max="12" width="19.81640625" customWidth="1"/>
    <col min="13" max="13" width="10" hidden="1" customWidth="1"/>
    <col min="14" max="14" width="19.6328125" customWidth="1"/>
    <col min="15" max="15" width="14.90625" customWidth="1"/>
    <col min="16" max="16" width="20.453125" hidden="1" customWidth="1"/>
    <col min="17" max="17" width="14.1796875" style="211" customWidth="1"/>
    <col min="18" max="18" width="18.1796875" customWidth="1"/>
    <col min="19" max="19" width="18" customWidth="1"/>
    <col min="20" max="20" width="0" hidden="1" customWidth="1"/>
    <col min="21" max="21" width="3.26953125" hidden="1" customWidth="1"/>
    <col min="23" max="23" width="0" hidden="1" customWidth="1"/>
  </cols>
  <sheetData>
    <row r="1" spans="1:42" ht="110.5" customHeight="1" x14ac:dyDescent="0.75">
      <c r="A1" s="399" t="s">
        <v>395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291">
        <v>1.52</v>
      </c>
      <c r="U1" s="291">
        <v>2.2499999999999999E-2</v>
      </c>
      <c r="W1" s="353">
        <f>R150+S150</f>
        <v>125</v>
      </c>
    </row>
    <row r="2" spans="1:42" ht="30" customHeight="1" x14ac:dyDescent="0.45">
      <c r="A2" s="401" t="s">
        <v>386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3"/>
      <c r="T2" s="291"/>
      <c r="U2" s="291"/>
    </row>
    <row r="3" spans="1:42" ht="82.5" customHeight="1" x14ac:dyDescent="0.45">
      <c r="A3" s="317" t="s">
        <v>203</v>
      </c>
      <c r="B3" s="317" t="s">
        <v>204</v>
      </c>
      <c r="C3" s="317" t="s">
        <v>205</v>
      </c>
      <c r="D3" s="317" t="s">
        <v>206</v>
      </c>
      <c r="E3" s="317" t="s">
        <v>24</v>
      </c>
      <c r="F3" s="317" t="s">
        <v>207</v>
      </c>
      <c r="G3" s="318" t="s">
        <v>25</v>
      </c>
      <c r="H3" s="318" t="s">
        <v>208</v>
      </c>
      <c r="I3" s="318" t="s">
        <v>98</v>
      </c>
      <c r="J3" s="318" t="s">
        <v>98</v>
      </c>
      <c r="K3" s="318" t="s">
        <v>210</v>
      </c>
      <c r="L3" s="318" t="s">
        <v>209</v>
      </c>
      <c r="M3" s="318" t="s">
        <v>384</v>
      </c>
      <c r="N3" s="318" t="s">
        <v>27</v>
      </c>
      <c r="O3" s="319" t="s">
        <v>211</v>
      </c>
      <c r="P3" s="319" t="s">
        <v>211</v>
      </c>
      <c r="Q3" s="319" t="s">
        <v>212</v>
      </c>
      <c r="R3" s="404" t="s">
        <v>213</v>
      </c>
      <c r="S3" s="405"/>
      <c r="T3" s="291"/>
      <c r="U3" s="291"/>
    </row>
    <row r="4" spans="1:42" ht="20" customHeight="1" x14ac:dyDescent="0.45">
      <c r="A4" s="320"/>
      <c r="B4" s="320"/>
      <c r="C4" s="320"/>
      <c r="D4" s="320"/>
      <c r="E4" s="320"/>
      <c r="F4" s="321"/>
      <c r="G4" s="319" t="s">
        <v>12</v>
      </c>
      <c r="H4" s="320" t="s">
        <v>12</v>
      </c>
      <c r="I4" s="319" t="s">
        <v>12</v>
      </c>
      <c r="J4" s="319" t="s">
        <v>385</v>
      </c>
      <c r="K4" s="319" t="s">
        <v>12</v>
      </c>
      <c r="L4" s="319" t="s">
        <v>12</v>
      </c>
      <c r="M4" s="319" t="s">
        <v>12</v>
      </c>
      <c r="N4" s="319" t="s">
        <v>12</v>
      </c>
      <c r="O4" s="319" t="s">
        <v>12</v>
      </c>
      <c r="P4" s="319" t="s">
        <v>385</v>
      </c>
      <c r="Q4" s="319" t="s">
        <v>12</v>
      </c>
      <c r="R4" s="320" t="s">
        <v>214</v>
      </c>
      <c r="S4" s="320" t="s">
        <v>215</v>
      </c>
      <c r="T4" s="291"/>
      <c r="U4" s="291"/>
    </row>
    <row r="5" spans="1:42" ht="30" customHeight="1" x14ac:dyDescent="0.45">
      <c r="A5" s="331">
        <v>1</v>
      </c>
      <c r="B5" s="322" t="s">
        <v>216</v>
      </c>
      <c r="C5" s="322" t="s">
        <v>217</v>
      </c>
      <c r="D5" s="322" t="s">
        <v>218</v>
      </c>
      <c r="E5" s="322" t="s">
        <v>34</v>
      </c>
      <c r="F5" s="322" t="s">
        <v>219</v>
      </c>
      <c r="G5" s="323">
        <v>58.38</v>
      </c>
      <c r="H5" s="324">
        <f>2.43-U1</f>
        <v>2.4075000000000002</v>
      </c>
      <c r="I5" s="333">
        <f>59.64-U1</f>
        <v>59.6175</v>
      </c>
      <c r="J5" s="324">
        <f>ROUND(I5*10.7639,0)</f>
        <v>642</v>
      </c>
      <c r="K5" s="324">
        <f>68.97-U1</f>
        <v>68.947500000000005</v>
      </c>
      <c r="L5" s="324">
        <f>M5/2</f>
        <v>3.78</v>
      </c>
      <c r="M5" s="324">
        <v>7.56</v>
      </c>
      <c r="N5" s="324">
        <f t="shared" ref="N5:N36" si="0">O5-G5-H5-L5</f>
        <v>29.831099999999999</v>
      </c>
      <c r="O5" s="324">
        <f>I5*$T$1+L5</f>
        <v>94.398600000000002</v>
      </c>
      <c r="P5" s="324">
        <f>ROUND(O5*10.7639,0)</f>
        <v>1016</v>
      </c>
      <c r="Q5" s="324">
        <f t="shared" ref="Q5:Q36" si="1">O5/$O$150*$H$153</f>
        <v>38.033276324023142</v>
      </c>
      <c r="R5" s="339" t="s">
        <v>93</v>
      </c>
      <c r="S5" s="393">
        <v>1</v>
      </c>
      <c r="T5" s="291"/>
      <c r="U5" s="291"/>
    </row>
    <row r="6" spans="1:42" ht="30" customHeight="1" x14ac:dyDescent="0.45">
      <c r="A6" s="331">
        <v>2</v>
      </c>
      <c r="B6" s="322" t="s">
        <v>216</v>
      </c>
      <c r="C6" s="322" t="s">
        <v>217</v>
      </c>
      <c r="D6" s="322" t="s">
        <v>220</v>
      </c>
      <c r="E6" s="322" t="s">
        <v>34</v>
      </c>
      <c r="F6" s="322" t="s">
        <v>219</v>
      </c>
      <c r="G6" s="325">
        <v>61.89</v>
      </c>
      <c r="H6" s="326">
        <f>2.43-U1</f>
        <v>2.4075000000000002</v>
      </c>
      <c r="I6" s="333">
        <f>63.03-U1</f>
        <v>63.0075</v>
      </c>
      <c r="J6" s="324">
        <f t="shared" ref="J6:J54" si="2">ROUND(I6*10.7639,0)</f>
        <v>678</v>
      </c>
      <c r="K6" s="324">
        <f>72.99-U1</f>
        <v>72.967500000000001</v>
      </c>
      <c r="L6" s="324">
        <f t="shared" ref="L6:L54" si="3">M6/2</f>
        <v>0</v>
      </c>
      <c r="M6" s="324">
        <v>0</v>
      </c>
      <c r="N6" s="324">
        <f t="shared" si="0"/>
        <v>31.4739</v>
      </c>
      <c r="O6" s="324">
        <f t="shared" ref="O6:O54" si="4">I6*$T$1+L6</f>
        <v>95.7714</v>
      </c>
      <c r="P6" s="324">
        <f t="shared" ref="P6:P54" si="5">ROUND(O6*10.7639,0)</f>
        <v>1031</v>
      </c>
      <c r="Q6" s="324">
        <f t="shared" si="1"/>
        <v>38.586378613014922</v>
      </c>
      <c r="R6" s="339" t="s">
        <v>93</v>
      </c>
      <c r="S6" s="394"/>
      <c r="T6" s="291"/>
      <c r="U6" s="291"/>
    </row>
    <row r="7" spans="1:42" ht="30" customHeight="1" x14ac:dyDescent="0.45">
      <c r="A7" s="331">
        <v>3</v>
      </c>
      <c r="B7" s="322" t="s">
        <v>216</v>
      </c>
      <c r="C7" s="322" t="s">
        <v>217</v>
      </c>
      <c r="D7" s="322" t="s">
        <v>221</v>
      </c>
      <c r="E7" s="322" t="s">
        <v>36</v>
      </c>
      <c r="F7" s="322" t="s">
        <v>148</v>
      </c>
      <c r="G7" s="325">
        <v>79.680000000000007</v>
      </c>
      <c r="H7" s="326">
        <f>4.12-U1</f>
        <v>4.0975000000000001</v>
      </c>
      <c r="I7" s="333">
        <f>81.53-U1</f>
        <v>81.507500000000007</v>
      </c>
      <c r="J7" s="324">
        <f t="shared" si="2"/>
        <v>877</v>
      </c>
      <c r="K7" s="324">
        <f>94.42-U1</f>
        <v>94.397500000000008</v>
      </c>
      <c r="L7" s="324">
        <f t="shared" si="3"/>
        <v>0</v>
      </c>
      <c r="M7" s="324">
        <v>0</v>
      </c>
      <c r="N7" s="324">
        <f t="shared" si="0"/>
        <v>40.113900000000015</v>
      </c>
      <c r="O7" s="324">
        <f t="shared" si="4"/>
        <v>123.89140000000002</v>
      </c>
      <c r="P7" s="324">
        <f t="shared" si="5"/>
        <v>1334</v>
      </c>
      <c r="Q7" s="324">
        <f t="shared" si="1"/>
        <v>49.915950558271859</v>
      </c>
      <c r="R7" s="339" t="s">
        <v>93</v>
      </c>
      <c r="S7" s="352">
        <v>1</v>
      </c>
      <c r="T7" s="291"/>
      <c r="U7" s="291"/>
    </row>
    <row r="8" spans="1:42" s="316" customFormat="1" ht="30" customHeight="1" x14ac:dyDescent="0.45">
      <c r="A8" s="332">
        <v>4</v>
      </c>
      <c r="B8" s="322" t="s">
        <v>216</v>
      </c>
      <c r="C8" s="322" t="s">
        <v>217</v>
      </c>
      <c r="D8" s="322" t="s">
        <v>222</v>
      </c>
      <c r="E8" s="322" t="s">
        <v>105</v>
      </c>
      <c r="F8" s="322" t="s">
        <v>223</v>
      </c>
      <c r="G8" s="325">
        <v>94.77</v>
      </c>
      <c r="H8" s="326">
        <f>9.93-(U1*3)</f>
        <v>9.8624999999999989</v>
      </c>
      <c r="I8" s="334">
        <f>101.82-(U1*3)</f>
        <v>101.7525</v>
      </c>
      <c r="J8" s="324">
        <f t="shared" si="2"/>
        <v>1095</v>
      </c>
      <c r="K8" s="324">
        <f>115.75-(U1*3)</f>
        <v>115.6825</v>
      </c>
      <c r="L8" s="324">
        <f t="shared" si="3"/>
        <v>5.08</v>
      </c>
      <c r="M8" s="324">
        <v>10.16</v>
      </c>
      <c r="N8" s="324">
        <f t="shared" si="0"/>
        <v>50.03130000000003</v>
      </c>
      <c r="O8" s="324">
        <f t="shared" si="4"/>
        <v>159.74380000000002</v>
      </c>
      <c r="P8" s="324">
        <f t="shared" si="5"/>
        <v>1719</v>
      </c>
      <c r="Q8" s="324">
        <f t="shared" si="1"/>
        <v>64.360913047963521</v>
      </c>
      <c r="R8" s="339" t="s">
        <v>93</v>
      </c>
      <c r="S8" s="352">
        <v>1</v>
      </c>
      <c r="T8" s="327"/>
      <c r="U8" s="327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 s="316" customFormat="1" ht="30" customHeight="1" x14ac:dyDescent="0.45">
      <c r="A9" s="332">
        <v>5</v>
      </c>
      <c r="B9" s="322" t="s">
        <v>216</v>
      </c>
      <c r="C9" s="322" t="s">
        <v>217</v>
      </c>
      <c r="D9" s="322" t="s">
        <v>224</v>
      </c>
      <c r="E9" s="322" t="s">
        <v>36</v>
      </c>
      <c r="F9" s="322" t="s">
        <v>219</v>
      </c>
      <c r="G9" s="325">
        <v>61.43</v>
      </c>
      <c r="H9" s="326">
        <f>3.81-U1</f>
        <v>3.7875000000000001</v>
      </c>
      <c r="I9" s="334">
        <f>63.41-U1</f>
        <v>63.387499999999996</v>
      </c>
      <c r="J9" s="324">
        <f t="shared" si="2"/>
        <v>682</v>
      </c>
      <c r="K9" s="324">
        <f>73.31-U1</f>
        <v>73.287500000000009</v>
      </c>
      <c r="L9" s="324">
        <f t="shared" si="3"/>
        <v>7.27</v>
      </c>
      <c r="M9" s="324">
        <v>14.54</v>
      </c>
      <c r="N9" s="324">
        <f t="shared" si="0"/>
        <v>31.131499999999985</v>
      </c>
      <c r="O9" s="324">
        <f t="shared" si="4"/>
        <v>103.61899999999999</v>
      </c>
      <c r="P9" s="324">
        <f t="shared" si="5"/>
        <v>1115</v>
      </c>
      <c r="Q9" s="324">
        <f t="shared" si="1"/>
        <v>41.748183335546855</v>
      </c>
      <c r="R9" s="339">
        <v>1</v>
      </c>
      <c r="S9" s="352" t="s">
        <v>93</v>
      </c>
      <c r="T9" s="327"/>
      <c r="U9" s="327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 s="316" customFormat="1" ht="30" customHeight="1" x14ac:dyDescent="0.45">
      <c r="A10" s="332">
        <v>6</v>
      </c>
      <c r="B10" s="322" t="s">
        <v>216</v>
      </c>
      <c r="C10" s="322" t="s">
        <v>217</v>
      </c>
      <c r="D10" s="322" t="s">
        <v>225</v>
      </c>
      <c r="E10" s="322" t="s">
        <v>34</v>
      </c>
      <c r="F10" s="322" t="s">
        <v>219</v>
      </c>
      <c r="G10" s="325">
        <v>58.38</v>
      </c>
      <c r="H10" s="326">
        <f>2.43-U1</f>
        <v>2.4075000000000002</v>
      </c>
      <c r="I10" s="334">
        <f>59.59-U1</f>
        <v>59.567500000000003</v>
      </c>
      <c r="J10" s="324">
        <f t="shared" si="2"/>
        <v>641</v>
      </c>
      <c r="K10" s="324">
        <f>68.9-U1</f>
        <v>68.877500000000012</v>
      </c>
      <c r="L10" s="324">
        <f t="shared" si="3"/>
        <v>0</v>
      </c>
      <c r="M10" s="324">
        <v>0</v>
      </c>
      <c r="N10" s="324">
        <f t="shared" si="0"/>
        <v>29.755100000000006</v>
      </c>
      <c r="O10" s="324">
        <f t="shared" si="4"/>
        <v>90.542600000000007</v>
      </c>
      <c r="P10" s="324">
        <f t="shared" si="5"/>
        <v>975</v>
      </c>
      <c r="Q10" s="324">
        <f t="shared" si="1"/>
        <v>36.479690640491469</v>
      </c>
      <c r="R10" s="408">
        <v>1</v>
      </c>
      <c r="S10" s="352" t="s">
        <v>93</v>
      </c>
      <c r="T10" s="327"/>
      <c r="U10" s="327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s="316" customFormat="1" ht="30" customHeight="1" x14ac:dyDescent="0.45">
      <c r="A11" s="332">
        <v>7</v>
      </c>
      <c r="B11" s="322" t="s">
        <v>216</v>
      </c>
      <c r="C11" s="322" t="s">
        <v>217</v>
      </c>
      <c r="D11" s="322" t="s">
        <v>226</v>
      </c>
      <c r="E11" s="322" t="s">
        <v>34</v>
      </c>
      <c r="F11" s="322" t="s">
        <v>219</v>
      </c>
      <c r="G11" s="325">
        <v>58.38</v>
      </c>
      <c r="H11" s="326">
        <f>2.43-U1</f>
        <v>2.4075000000000002</v>
      </c>
      <c r="I11" s="334">
        <f>59.64-U1</f>
        <v>59.6175</v>
      </c>
      <c r="J11" s="324">
        <f t="shared" si="2"/>
        <v>642</v>
      </c>
      <c r="K11" s="324">
        <f>68.97-U1</f>
        <v>68.947500000000005</v>
      </c>
      <c r="L11" s="324">
        <f t="shared" si="3"/>
        <v>0</v>
      </c>
      <c r="M11" s="324">
        <v>0</v>
      </c>
      <c r="N11" s="324">
        <f t="shared" si="0"/>
        <v>29.831099999999999</v>
      </c>
      <c r="O11" s="324">
        <f t="shared" si="4"/>
        <v>90.618600000000001</v>
      </c>
      <c r="P11" s="324">
        <f t="shared" si="5"/>
        <v>975</v>
      </c>
      <c r="Q11" s="324">
        <f t="shared" si="1"/>
        <v>36.51031110520838</v>
      </c>
      <c r="R11" s="409"/>
      <c r="S11" s="352" t="s">
        <v>93</v>
      </c>
      <c r="T11" s="327"/>
      <c r="U11" s="327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 s="316" customFormat="1" ht="30" customHeight="1" x14ac:dyDescent="0.45">
      <c r="A12" s="332">
        <v>8</v>
      </c>
      <c r="B12" s="322" t="s">
        <v>216</v>
      </c>
      <c r="C12" s="322" t="s">
        <v>217</v>
      </c>
      <c r="D12" s="322" t="s">
        <v>227</v>
      </c>
      <c r="E12" s="322" t="s">
        <v>36</v>
      </c>
      <c r="F12" s="322" t="s">
        <v>148</v>
      </c>
      <c r="G12" s="325">
        <v>79.760000000000005</v>
      </c>
      <c r="H12" s="326">
        <v>3.9775</v>
      </c>
      <c r="I12" s="334">
        <f>81.51-U1</f>
        <v>81.487500000000011</v>
      </c>
      <c r="J12" s="324">
        <f t="shared" si="2"/>
        <v>877</v>
      </c>
      <c r="K12" s="324">
        <f>94.48-U1</f>
        <v>94.45750000000001</v>
      </c>
      <c r="L12" s="324">
        <f t="shared" si="3"/>
        <v>7.9249999999999998</v>
      </c>
      <c r="M12" s="324">
        <v>15.85</v>
      </c>
      <c r="N12" s="324">
        <f t="shared" si="0"/>
        <v>40.123500000000028</v>
      </c>
      <c r="O12" s="324">
        <f t="shared" si="4"/>
        <v>131.78600000000003</v>
      </c>
      <c r="P12" s="324">
        <f t="shared" si="5"/>
        <v>1419</v>
      </c>
      <c r="Q12" s="324">
        <f t="shared" si="1"/>
        <v>53.0966916208261</v>
      </c>
      <c r="R12" s="339" t="s">
        <v>93</v>
      </c>
      <c r="S12" s="352">
        <v>1</v>
      </c>
      <c r="T12" s="327"/>
      <c r="U12" s="327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 s="316" customFormat="1" ht="30" customHeight="1" x14ac:dyDescent="0.45">
      <c r="A13" s="332">
        <v>9</v>
      </c>
      <c r="B13" s="322" t="s">
        <v>216</v>
      </c>
      <c r="C13" s="322" t="s">
        <v>217</v>
      </c>
      <c r="D13" s="322" t="s">
        <v>228</v>
      </c>
      <c r="E13" s="322" t="s">
        <v>105</v>
      </c>
      <c r="F13" s="322" t="s">
        <v>223</v>
      </c>
      <c r="G13" s="325">
        <v>93.52</v>
      </c>
      <c r="H13" s="326">
        <f>6.74-U1</f>
        <v>6.7175000000000002</v>
      </c>
      <c r="I13" s="334">
        <f>97.4-U1</f>
        <v>97.377500000000012</v>
      </c>
      <c r="J13" s="324">
        <f t="shared" si="2"/>
        <v>1048</v>
      </c>
      <c r="K13" s="324">
        <f>111.23-U1</f>
        <v>111.20750000000001</v>
      </c>
      <c r="L13" s="324">
        <f t="shared" si="3"/>
        <v>22.82</v>
      </c>
      <c r="M13" s="324">
        <v>45.64</v>
      </c>
      <c r="N13" s="324">
        <f t="shared" si="0"/>
        <v>47.776300000000028</v>
      </c>
      <c r="O13" s="324">
        <f t="shared" si="4"/>
        <v>170.83380000000002</v>
      </c>
      <c r="P13" s="324">
        <f t="shared" si="5"/>
        <v>1839</v>
      </c>
      <c r="Q13" s="324">
        <f t="shared" si="1"/>
        <v>68.829083491523235</v>
      </c>
      <c r="R13" s="339" t="s">
        <v>93</v>
      </c>
      <c r="S13" s="352">
        <v>1</v>
      </c>
      <c r="T13" s="327"/>
      <c r="U13" s="327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 s="316" customFormat="1" ht="30" customHeight="1" x14ac:dyDescent="0.45">
      <c r="A14" s="332">
        <v>10</v>
      </c>
      <c r="B14" s="322" t="s">
        <v>216</v>
      </c>
      <c r="C14" s="322" t="s">
        <v>217</v>
      </c>
      <c r="D14" s="322" t="s">
        <v>229</v>
      </c>
      <c r="E14" s="322" t="s">
        <v>34</v>
      </c>
      <c r="F14" s="322" t="s">
        <v>148</v>
      </c>
      <c r="G14" s="325">
        <v>79.81</v>
      </c>
      <c r="H14" s="326">
        <f>4-U1</f>
        <v>3.9775</v>
      </c>
      <c r="I14" s="334">
        <f>81.62-U1</f>
        <v>81.597500000000011</v>
      </c>
      <c r="J14" s="324">
        <f t="shared" si="2"/>
        <v>878</v>
      </c>
      <c r="K14" s="324">
        <f>94.02-U1</f>
        <v>93.997500000000002</v>
      </c>
      <c r="L14" s="324">
        <f t="shared" si="3"/>
        <v>11.365</v>
      </c>
      <c r="M14" s="324">
        <v>22.73</v>
      </c>
      <c r="N14" s="324">
        <f t="shared" si="0"/>
        <v>40.240700000000004</v>
      </c>
      <c r="O14" s="324">
        <f t="shared" si="4"/>
        <v>135.39320000000001</v>
      </c>
      <c r="P14" s="324">
        <f t="shared" si="5"/>
        <v>1457</v>
      </c>
      <c r="Q14" s="324">
        <f t="shared" si="1"/>
        <v>54.550035572495048</v>
      </c>
      <c r="R14" s="339" t="s">
        <v>93</v>
      </c>
      <c r="S14" s="352">
        <v>1</v>
      </c>
      <c r="T14" s="327"/>
      <c r="U14" s="327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 s="316" customFormat="1" ht="30" customHeight="1" x14ac:dyDescent="0.45">
      <c r="A15" s="332">
        <v>11</v>
      </c>
      <c r="B15" s="322" t="s">
        <v>216</v>
      </c>
      <c r="C15" s="322" t="s">
        <v>230</v>
      </c>
      <c r="D15" s="322" t="s">
        <v>231</v>
      </c>
      <c r="E15" s="322" t="s">
        <v>34</v>
      </c>
      <c r="F15" s="322" t="s">
        <v>219</v>
      </c>
      <c r="G15" s="323">
        <f>G5</f>
        <v>58.38</v>
      </c>
      <c r="H15" s="324">
        <f>H5</f>
        <v>2.4075000000000002</v>
      </c>
      <c r="I15" s="333">
        <f>I5</f>
        <v>59.6175</v>
      </c>
      <c r="J15" s="324">
        <f t="shared" si="2"/>
        <v>642</v>
      </c>
      <c r="K15" s="324">
        <f>K5</f>
        <v>68.947500000000005</v>
      </c>
      <c r="L15" s="324">
        <f t="shared" si="3"/>
        <v>0</v>
      </c>
      <c r="M15" s="324">
        <v>0</v>
      </c>
      <c r="N15" s="324">
        <f t="shared" si="0"/>
        <v>29.831099999999999</v>
      </c>
      <c r="O15" s="324">
        <f>I15*$T$1+L15</f>
        <v>90.618600000000001</v>
      </c>
      <c r="P15" s="324">
        <f t="shared" si="5"/>
        <v>975</v>
      </c>
      <c r="Q15" s="324">
        <f t="shared" si="1"/>
        <v>36.51031110520838</v>
      </c>
      <c r="R15" s="339" t="s">
        <v>93</v>
      </c>
      <c r="S15" s="393">
        <v>1</v>
      </c>
      <c r="T15" s="327"/>
      <c r="U15" s="327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 s="316" customFormat="1" ht="30" customHeight="1" x14ac:dyDescent="0.45">
      <c r="A16" s="332">
        <v>12</v>
      </c>
      <c r="B16" s="322" t="s">
        <v>216</v>
      </c>
      <c r="C16" s="322" t="s">
        <v>230</v>
      </c>
      <c r="D16" s="322" t="s">
        <v>232</v>
      </c>
      <c r="E16" s="322" t="s">
        <v>34</v>
      </c>
      <c r="F16" s="322" t="s">
        <v>219</v>
      </c>
      <c r="G16" s="323">
        <f t="shared" ref="G16:K54" si="6">G6</f>
        <v>61.89</v>
      </c>
      <c r="H16" s="324">
        <f t="shared" si="6"/>
        <v>2.4075000000000002</v>
      </c>
      <c r="I16" s="333">
        <f t="shared" si="6"/>
        <v>63.0075</v>
      </c>
      <c r="J16" s="324">
        <f t="shared" si="2"/>
        <v>678</v>
      </c>
      <c r="K16" s="324">
        <f t="shared" si="6"/>
        <v>72.967500000000001</v>
      </c>
      <c r="L16" s="324">
        <f t="shared" si="3"/>
        <v>0</v>
      </c>
      <c r="M16" s="324">
        <v>0</v>
      </c>
      <c r="N16" s="324">
        <f t="shared" si="0"/>
        <v>31.4739</v>
      </c>
      <c r="O16" s="324">
        <f t="shared" si="4"/>
        <v>95.7714</v>
      </c>
      <c r="P16" s="324">
        <f t="shared" si="5"/>
        <v>1031</v>
      </c>
      <c r="Q16" s="324">
        <f t="shared" si="1"/>
        <v>38.586378613014922</v>
      </c>
      <c r="R16" s="339" t="s">
        <v>93</v>
      </c>
      <c r="S16" s="394"/>
      <c r="T16" s="327"/>
      <c r="U16" s="327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 s="316" customFormat="1" ht="30" customHeight="1" x14ac:dyDescent="0.45">
      <c r="A17" s="332">
        <v>13</v>
      </c>
      <c r="B17" s="322" t="s">
        <v>216</v>
      </c>
      <c r="C17" s="322" t="s">
        <v>230</v>
      </c>
      <c r="D17" s="322" t="s">
        <v>233</v>
      </c>
      <c r="E17" s="322" t="s">
        <v>36</v>
      </c>
      <c r="F17" s="322" t="s">
        <v>148</v>
      </c>
      <c r="G17" s="323">
        <f t="shared" si="6"/>
        <v>79.680000000000007</v>
      </c>
      <c r="H17" s="324">
        <f t="shared" si="6"/>
        <v>4.0975000000000001</v>
      </c>
      <c r="I17" s="333">
        <f t="shared" si="6"/>
        <v>81.507500000000007</v>
      </c>
      <c r="J17" s="324">
        <f t="shared" si="2"/>
        <v>877</v>
      </c>
      <c r="K17" s="324">
        <f t="shared" si="6"/>
        <v>94.397500000000008</v>
      </c>
      <c r="L17" s="324">
        <f t="shared" si="3"/>
        <v>0</v>
      </c>
      <c r="M17" s="324">
        <v>0</v>
      </c>
      <c r="N17" s="324">
        <f t="shared" si="0"/>
        <v>40.113900000000015</v>
      </c>
      <c r="O17" s="324">
        <f t="shared" si="4"/>
        <v>123.89140000000002</v>
      </c>
      <c r="P17" s="324">
        <f t="shared" si="5"/>
        <v>1334</v>
      </c>
      <c r="Q17" s="324">
        <f t="shared" si="1"/>
        <v>49.915950558271859</v>
      </c>
      <c r="R17" s="339" t="s">
        <v>93</v>
      </c>
      <c r="S17" s="352">
        <v>1</v>
      </c>
      <c r="T17" s="327"/>
      <c r="U17" s="32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 s="316" customFormat="1" ht="30" customHeight="1" x14ac:dyDescent="0.45">
      <c r="A18" s="332">
        <v>14</v>
      </c>
      <c r="B18" s="322" t="s">
        <v>216</v>
      </c>
      <c r="C18" s="322" t="s">
        <v>230</v>
      </c>
      <c r="D18" s="322" t="s">
        <v>234</v>
      </c>
      <c r="E18" s="322" t="s">
        <v>105</v>
      </c>
      <c r="F18" s="322" t="s">
        <v>223</v>
      </c>
      <c r="G18" s="323">
        <f t="shared" si="6"/>
        <v>94.77</v>
      </c>
      <c r="H18" s="324">
        <f t="shared" si="6"/>
        <v>9.8624999999999989</v>
      </c>
      <c r="I18" s="333">
        <f t="shared" si="6"/>
        <v>101.7525</v>
      </c>
      <c r="J18" s="324">
        <f t="shared" si="2"/>
        <v>1095</v>
      </c>
      <c r="K18" s="324">
        <f t="shared" si="6"/>
        <v>115.6825</v>
      </c>
      <c r="L18" s="324">
        <f t="shared" si="3"/>
        <v>0</v>
      </c>
      <c r="M18" s="324">
        <v>0</v>
      </c>
      <c r="N18" s="324">
        <f t="shared" si="0"/>
        <v>50.031300000000016</v>
      </c>
      <c r="O18" s="324">
        <f t="shared" si="4"/>
        <v>154.66380000000001</v>
      </c>
      <c r="P18" s="324">
        <f t="shared" si="5"/>
        <v>1665</v>
      </c>
      <c r="Q18" s="324">
        <f t="shared" si="1"/>
        <v>62.314176722148957</v>
      </c>
      <c r="R18" s="339" t="s">
        <v>93</v>
      </c>
      <c r="S18" s="352">
        <v>1</v>
      </c>
      <c r="T18" s="327"/>
      <c r="U18" s="327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 s="316" customFormat="1" ht="30" customHeight="1" x14ac:dyDescent="0.45">
      <c r="A19" s="332">
        <v>15</v>
      </c>
      <c r="B19" s="322" t="s">
        <v>216</v>
      </c>
      <c r="C19" s="322" t="s">
        <v>230</v>
      </c>
      <c r="D19" s="322" t="s">
        <v>235</v>
      </c>
      <c r="E19" s="322" t="s">
        <v>36</v>
      </c>
      <c r="F19" s="322" t="s">
        <v>219</v>
      </c>
      <c r="G19" s="323">
        <f t="shared" si="6"/>
        <v>61.43</v>
      </c>
      <c r="H19" s="324">
        <f t="shared" si="6"/>
        <v>3.7875000000000001</v>
      </c>
      <c r="I19" s="333">
        <f t="shared" si="6"/>
        <v>63.387499999999996</v>
      </c>
      <c r="J19" s="324">
        <f t="shared" si="2"/>
        <v>682</v>
      </c>
      <c r="K19" s="324">
        <f t="shared" si="6"/>
        <v>73.287500000000009</v>
      </c>
      <c r="L19" s="324">
        <f t="shared" si="3"/>
        <v>0</v>
      </c>
      <c r="M19" s="324">
        <v>0</v>
      </c>
      <c r="N19" s="324">
        <f t="shared" si="0"/>
        <v>31.131499999999988</v>
      </c>
      <c r="O19" s="324">
        <f t="shared" si="4"/>
        <v>96.34899999999999</v>
      </c>
      <c r="P19" s="324">
        <f t="shared" si="5"/>
        <v>1037</v>
      </c>
      <c r="Q19" s="324">
        <f t="shared" si="1"/>
        <v>38.819094144863435</v>
      </c>
      <c r="R19" s="339">
        <v>1</v>
      </c>
      <c r="S19" s="352" t="s">
        <v>93</v>
      </c>
      <c r="T19" s="327"/>
      <c r="U19" s="327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 s="316" customFormat="1" ht="30" customHeight="1" x14ac:dyDescent="0.45">
      <c r="A20" s="332">
        <v>16</v>
      </c>
      <c r="B20" s="322" t="s">
        <v>216</v>
      </c>
      <c r="C20" s="322" t="s">
        <v>230</v>
      </c>
      <c r="D20" s="322" t="s">
        <v>236</v>
      </c>
      <c r="E20" s="322" t="s">
        <v>34</v>
      </c>
      <c r="F20" s="322" t="s">
        <v>219</v>
      </c>
      <c r="G20" s="323">
        <f t="shared" si="6"/>
        <v>58.38</v>
      </c>
      <c r="H20" s="324">
        <f t="shared" si="6"/>
        <v>2.4075000000000002</v>
      </c>
      <c r="I20" s="333">
        <f t="shared" si="6"/>
        <v>59.567500000000003</v>
      </c>
      <c r="J20" s="324">
        <f t="shared" si="2"/>
        <v>641</v>
      </c>
      <c r="K20" s="324">
        <f t="shared" si="6"/>
        <v>68.877500000000012</v>
      </c>
      <c r="L20" s="324">
        <f t="shared" si="3"/>
        <v>0</v>
      </c>
      <c r="M20" s="324">
        <v>0</v>
      </c>
      <c r="N20" s="324">
        <f t="shared" si="0"/>
        <v>29.755100000000006</v>
      </c>
      <c r="O20" s="324">
        <f t="shared" si="4"/>
        <v>90.542600000000007</v>
      </c>
      <c r="P20" s="324">
        <f t="shared" si="5"/>
        <v>975</v>
      </c>
      <c r="Q20" s="324">
        <f t="shared" si="1"/>
        <v>36.479690640491469</v>
      </c>
      <c r="R20" s="408">
        <v>1</v>
      </c>
      <c r="S20" s="352" t="s">
        <v>93</v>
      </c>
      <c r="T20" s="327"/>
      <c r="U20" s="327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s="316" customFormat="1" ht="30" customHeight="1" x14ac:dyDescent="0.45">
      <c r="A21" s="332">
        <v>17</v>
      </c>
      <c r="B21" s="322" t="s">
        <v>216</v>
      </c>
      <c r="C21" s="322" t="s">
        <v>230</v>
      </c>
      <c r="D21" s="322" t="s">
        <v>237</v>
      </c>
      <c r="E21" s="322" t="s">
        <v>34</v>
      </c>
      <c r="F21" s="322" t="s">
        <v>219</v>
      </c>
      <c r="G21" s="323">
        <f t="shared" si="6"/>
        <v>58.38</v>
      </c>
      <c r="H21" s="324">
        <f t="shared" si="6"/>
        <v>2.4075000000000002</v>
      </c>
      <c r="I21" s="333">
        <f t="shared" si="6"/>
        <v>59.6175</v>
      </c>
      <c r="J21" s="324">
        <f t="shared" si="2"/>
        <v>642</v>
      </c>
      <c r="K21" s="324">
        <f t="shared" si="6"/>
        <v>68.947500000000005</v>
      </c>
      <c r="L21" s="324">
        <f t="shared" si="3"/>
        <v>0</v>
      </c>
      <c r="M21" s="324">
        <v>0</v>
      </c>
      <c r="N21" s="324">
        <f t="shared" si="0"/>
        <v>29.831099999999999</v>
      </c>
      <c r="O21" s="324">
        <f t="shared" si="4"/>
        <v>90.618600000000001</v>
      </c>
      <c r="P21" s="324">
        <f t="shared" si="5"/>
        <v>975</v>
      </c>
      <c r="Q21" s="324">
        <f t="shared" si="1"/>
        <v>36.51031110520838</v>
      </c>
      <c r="R21" s="409"/>
      <c r="S21" s="352" t="s">
        <v>93</v>
      </c>
      <c r="T21" s="327"/>
      <c r="U21" s="327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 s="316" customFormat="1" ht="30" customHeight="1" x14ac:dyDescent="0.45">
      <c r="A22" s="332">
        <v>18</v>
      </c>
      <c r="B22" s="322" t="s">
        <v>216</v>
      </c>
      <c r="C22" s="322" t="s">
        <v>230</v>
      </c>
      <c r="D22" s="322" t="s">
        <v>238</v>
      </c>
      <c r="E22" s="322" t="s">
        <v>36</v>
      </c>
      <c r="F22" s="322" t="s">
        <v>148</v>
      </c>
      <c r="G22" s="323">
        <f t="shared" si="6"/>
        <v>79.760000000000005</v>
      </c>
      <c r="H22" s="324">
        <f t="shared" si="6"/>
        <v>3.9775</v>
      </c>
      <c r="I22" s="333">
        <f t="shared" si="6"/>
        <v>81.487500000000011</v>
      </c>
      <c r="J22" s="324">
        <f t="shared" si="2"/>
        <v>877</v>
      </c>
      <c r="K22" s="324">
        <f t="shared" si="6"/>
        <v>94.45750000000001</v>
      </c>
      <c r="L22" s="324">
        <f t="shared" si="3"/>
        <v>0</v>
      </c>
      <c r="M22" s="324">
        <v>0</v>
      </c>
      <c r="N22" s="324">
        <f t="shared" si="0"/>
        <v>40.123500000000014</v>
      </c>
      <c r="O22" s="324">
        <f t="shared" si="4"/>
        <v>123.86100000000002</v>
      </c>
      <c r="P22" s="324">
        <f t="shared" si="5"/>
        <v>1333</v>
      </c>
      <c r="Q22" s="324">
        <f t="shared" si="1"/>
        <v>49.903702372385091</v>
      </c>
      <c r="R22" s="339" t="s">
        <v>93</v>
      </c>
      <c r="S22" s="352">
        <v>1</v>
      </c>
      <c r="T22" s="327"/>
      <c r="U22" s="327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 s="316" customFormat="1" ht="30" customHeight="1" x14ac:dyDescent="0.45">
      <c r="A23" s="332">
        <v>19</v>
      </c>
      <c r="B23" s="322" t="s">
        <v>216</v>
      </c>
      <c r="C23" s="322" t="s">
        <v>230</v>
      </c>
      <c r="D23" s="322" t="s">
        <v>239</v>
      </c>
      <c r="E23" s="322" t="s">
        <v>105</v>
      </c>
      <c r="F23" s="322" t="s">
        <v>223</v>
      </c>
      <c r="G23" s="323">
        <f t="shared" si="6"/>
        <v>93.52</v>
      </c>
      <c r="H23" s="324">
        <f t="shared" si="6"/>
        <v>6.7175000000000002</v>
      </c>
      <c r="I23" s="333">
        <f t="shared" si="6"/>
        <v>97.377500000000012</v>
      </c>
      <c r="J23" s="324">
        <f t="shared" si="2"/>
        <v>1048</v>
      </c>
      <c r="K23" s="324">
        <f t="shared" si="6"/>
        <v>111.20750000000001</v>
      </c>
      <c r="L23" s="324">
        <f t="shared" si="3"/>
        <v>0</v>
      </c>
      <c r="M23" s="324">
        <v>0</v>
      </c>
      <c r="N23" s="324">
        <f t="shared" si="0"/>
        <v>47.776300000000035</v>
      </c>
      <c r="O23" s="324">
        <f t="shared" si="4"/>
        <v>148.01380000000003</v>
      </c>
      <c r="P23" s="324">
        <f t="shared" si="5"/>
        <v>1593</v>
      </c>
      <c r="Q23" s="324">
        <f t="shared" si="1"/>
        <v>59.634886059419294</v>
      </c>
      <c r="R23" s="339" t="s">
        <v>93</v>
      </c>
      <c r="S23" s="352">
        <v>1</v>
      </c>
      <c r="T23" s="327"/>
      <c r="U23" s="327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6" customFormat="1" ht="30" customHeight="1" x14ac:dyDescent="0.45">
      <c r="A24" s="332">
        <v>20</v>
      </c>
      <c r="B24" s="322" t="s">
        <v>216</v>
      </c>
      <c r="C24" s="322" t="s">
        <v>230</v>
      </c>
      <c r="D24" s="322" t="s">
        <v>240</v>
      </c>
      <c r="E24" s="322" t="s">
        <v>34</v>
      </c>
      <c r="F24" s="322" t="s">
        <v>148</v>
      </c>
      <c r="G24" s="323">
        <f t="shared" si="6"/>
        <v>79.81</v>
      </c>
      <c r="H24" s="324">
        <f t="shared" si="6"/>
        <v>3.9775</v>
      </c>
      <c r="I24" s="333">
        <f t="shared" si="6"/>
        <v>81.597500000000011</v>
      </c>
      <c r="J24" s="324">
        <f t="shared" si="2"/>
        <v>878</v>
      </c>
      <c r="K24" s="324">
        <f t="shared" si="6"/>
        <v>93.997500000000002</v>
      </c>
      <c r="L24" s="324">
        <f t="shared" si="3"/>
        <v>0</v>
      </c>
      <c r="M24" s="324">
        <v>0</v>
      </c>
      <c r="N24" s="324">
        <f t="shared" si="0"/>
        <v>40.240700000000011</v>
      </c>
      <c r="O24" s="324">
        <f t="shared" si="4"/>
        <v>124.02820000000001</v>
      </c>
      <c r="P24" s="324">
        <f t="shared" si="5"/>
        <v>1335</v>
      </c>
      <c r="Q24" s="324">
        <f t="shared" si="1"/>
        <v>49.971067394762294</v>
      </c>
      <c r="R24" s="339" t="s">
        <v>93</v>
      </c>
      <c r="S24" s="352">
        <v>1</v>
      </c>
      <c r="T24" s="327"/>
      <c r="U24" s="327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s="316" customFormat="1" ht="30" customHeight="1" x14ac:dyDescent="0.45">
      <c r="A25" s="332">
        <v>21</v>
      </c>
      <c r="B25" s="322" t="s">
        <v>216</v>
      </c>
      <c r="C25" s="322" t="s">
        <v>241</v>
      </c>
      <c r="D25" s="322" t="s">
        <v>242</v>
      </c>
      <c r="E25" s="322" t="s">
        <v>34</v>
      </c>
      <c r="F25" s="322" t="s">
        <v>219</v>
      </c>
      <c r="G25" s="323">
        <f t="shared" si="6"/>
        <v>58.38</v>
      </c>
      <c r="H25" s="324">
        <f t="shared" si="6"/>
        <v>2.4075000000000002</v>
      </c>
      <c r="I25" s="333">
        <f t="shared" si="6"/>
        <v>59.6175</v>
      </c>
      <c r="J25" s="324">
        <f t="shared" si="2"/>
        <v>642</v>
      </c>
      <c r="K25" s="324">
        <f t="shared" si="6"/>
        <v>68.947500000000005</v>
      </c>
      <c r="L25" s="324">
        <f t="shared" si="3"/>
        <v>0</v>
      </c>
      <c r="M25" s="324">
        <v>0</v>
      </c>
      <c r="N25" s="324">
        <f t="shared" si="0"/>
        <v>29.831099999999999</v>
      </c>
      <c r="O25" s="324">
        <f>I25*$T$1+L25</f>
        <v>90.618600000000001</v>
      </c>
      <c r="P25" s="324">
        <f t="shared" si="5"/>
        <v>975</v>
      </c>
      <c r="Q25" s="324">
        <f t="shared" si="1"/>
        <v>36.51031110520838</v>
      </c>
      <c r="R25" s="339" t="s">
        <v>93</v>
      </c>
      <c r="S25" s="393">
        <v>1</v>
      </c>
      <c r="T25" s="327"/>
      <c r="U25" s="327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 s="316" customFormat="1" ht="30" customHeight="1" x14ac:dyDescent="0.45">
      <c r="A26" s="332">
        <v>22</v>
      </c>
      <c r="B26" s="322" t="s">
        <v>216</v>
      </c>
      <c r="C26" s="322" t="s">
        <v>241</v>
      </c>
      <c r="D26" s="322" t="s">
        <v>243</v>
      </c>
      <c r="E26" s="322" t="s">
        <v>34</v>
      </c>
      <c r="F26" s="322" t="s">
        <v>219</v>
      </c>
      <c r="G26" s="323">
        <f t="shared" si="6"/>
        <v>61.89</v>
      </c>
      <c r="H26" s="324">
        <f t="shared" si="6"/>
        <v>2.4075000000000002</v>
      </c>
      <c r="I26" s="333">
        <f t="shared" si="6"/>
        <v>63.0075</v>
      </c>
      <c r="J26" s="324">
        <f t="shared" si="2"/>
        <v>678</v>
      </c>
      <c r="K26" s="324">
        <f t="shared" si="6"/>
        <v>72.967500000000001</v>
      </c>
      <c r="L26" s="324">
        <f t="shared" si="3"/>
        <v>0</v>
      </c>
      <c r="M26" s="324">
        <v>0</v>
      </c>
      <c r="N26" s="324">
        <f t="shared" si="0"/>
        <v>31.4739</v>
      </c>
      <c r="O26" s="324">
        <f t="shared" si="4"/>
        <v>95.7714</v>
      </c>
      <c r="P26" s="324">
        <f t="shared" si="5"/>
        <v>1031</v>
      </c>
      <c r="Q26" s="324">
        <f t="shared" si="1"/>
        <v>38.586378613014922</v>
      </c>
      <c r="R26" s="339" t="s">
        <v>93</v>
      </c>
      <c r="S26" s="394"/>
      <c r="T26" s="327"/>
      <c r="U26" s="327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 s="316" customFormat="1" ht="30" customHeight="1" x14ac:dyDescent="0.45">
      <c r="A27" s="332">
        <v>23</v>
      </c>
      <c r="B27" s="322" t="s">
        <v>216</v>
      </c>
      <c r="C27" s="322" t="s">
        <v>241</v>
      </c>
      <c r="D27" s="322" t="s">
        <v>244</v>
      </c>
      <c r="E27" s="322" t="s">
        <v>36</v>
      </c>
      <c r="F27" s="322" t="s">
        <v>148</v>
      </c>
      <c r="G27" s="323">
        <f t="shared" si="6"/>
        <v>79.680000000000007</v>
      </c>
      <c r="H27" s="324">
        <f t="shared" si="6"/>
        <v>4.0975000000000001</v>
      </c>
      <c r="I27" s="333">
        <f t="shared" si="6"/>
        <v>81.507500000000007</v>
      </c>
      <c r="J27" s="324">
        <f t="shared" si="2"/>
        <v>877</v>
      </c>
      <c r="K27" s="324">
        <f t="shared" si="6"/>
        <v>94.397500000000008</v>
      </c>
      <c r="L27" s="324">
        <f t="shared" si="3"/>
        <v>0</v>
      </c>
      <c r="M27" s="324">
        <v>0</v>
      </c>
      <c r="N27" s="324">
        <f t="shared" si="0"/>
        <v>40.113900000000015</v>
      </c>
      <c r="O27" s="324">
        <f t="shared" si="4"/>
        <v>123.89140000000002</v>
      </c>
      <c r="P27" s="324">
        <f t="shared" si="5"/>
        <v>1334</v>
      </c>
      <c r="Q27" s="324">
        <f t="shared" si="1"/>
        <v>49.915950558271859</v>
      </c>
      <c r="R27" s="339" t="s">
        <v>93</v>
      </c>
      <c r="S27" s="352">
        <v>1</v>
      </c>
      <c r="T27" s="327"/>
      <c r="U27" s="3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 s="316" customFormat="1" ht="30" customHeight="1" x14ac:dyDescent="0.45">
      <c r="A28" s="332">
        <v>24</v>
      </c>
      <c r="B28" s="322" t="s">
        <v>216</v>
      </c>
      <c r="C28" s="322" t="s">
        <v>241</v>
      </c>
      <c r="D28" s="322" t="s">
        <v>245</v>
      </c>
      <c r="E28" s="322" t="s">
        <v>105</v>
      </c>
      <c r="F28" s="322" t="s">
        <v>223</v>
      </c>
      <c r="G28" s="323">
        <f t="shared" si="6"/>
        <v>94.77</v>
      </c>
      <c r="H28" s="324">
        <f t="shared" si="6"/>
        <v>9.8624999999999989</v>
      </c>
      <c r="I28" s="333">
        <f t="shared" si="6"/>
        <v>101.7525</v>
      </c>
      <c r="J28" s="324">
        <f t="shared" si="2"/>
        <v>1095</v>
      </c>
      <c r="K28" s="324">
        <f t="shared" si="6"/>
        <v>115.6825</v>
      </c>
      <c r="L28" s="324">
        <f t="shared" si="3"/>
        <v>0</v>
      </c>
      <c r="M28" s="324">
        <v>0</v>
      </c>
      <c r="N28" s="324">
        <f t="shared" si="0"/>
        <v>50.031300000000016</v>
      </c>
      <c r="O28" s="324">
        <f t="shared" si="4"/>
        <v>154.66380000000001</v>
      </c>
      <c r="P28" s="324">
        <f t="shared" si="5"/>
        <v>1665</v>
      </c>
      <c r="Q28" s="324">
        <f t="shared" si="1"/>
        <v>62.314176722148957</v>
      </c>
      <c r="R28" s="339" t="s">
        <v>93</v>
      </c>
      <c r="S28" s="352">
        <v>1</v>
      </c>
      <c r="T28" s="327"/>
      <c r="U28" s="327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 s="316" customFormat="1" ht="30" customHeight="1" x14ac:dyDescent="0.45">
      <c r="A29" s="332">
        <v>25</v>
      </c>
      <c r="B29" s="322" t="s">
        <v>216</v>
      </c>
      <c r="C29" s="322" t="s">
        <v>241</v>
      </c>
      <c r="D29" s="322" t="s">
        <v>246</v>
      </c>
      <c r="E29" s="322" t="s">
        <v>36</v>
      </c>
      <c r="F29" s="322" t="s">
        <v>219</v>
      </c>
      <c r="G29" s="323">
        <f t="shared" si="6"/>
        <v>61.43</v>
      </c>
      <c r="H29" s="324">
        <f t="shared" si="6"/>
        <v>3.7875000000000001</v>
      </c>
      <c r="I29" s="333">
        <f t="shared" si="6"/>
        <v>63.387499999999996</v>
      </c>
      <c r="J29" s="324">
        <f t="shared" si="2"/>
        <v>682</v>
      </c>
      <c r="K29" s="324">
        <f t="shared" si="6"/>
        <v>73.287500000000009</v>
      </c>
      <c r="L29" s="324">
        <f t="shared" si="3"/>
        <v>0</v>
      </c>
      <c r="M29" s="324">
        <v>0</v>
      </c>
      <c r="N29" s="324">
        <f t="shared" si="0"/>
        <v>31.131499999999988</v>
      </c>
      <c r="O29" s="324">
        <f t="shared" si="4"/>
        <v>96.34899999999999</v>
      </c>
      <c r="P29" s="324">
        <f t="shared" si="5"/>
        <v>1037</v>
      </c>
      <c r="Q29" s="324">
        <f t="shared" si="1"/>
        <v>38.819094144863435</v>
      </c>
      <c r="R29" s="339">
        <v>1</v>
      </c>
      <c r="S29" s="352" t="s">
        <v>93</v>
      </c>
      <c r="T29" s="327"/>
      <c r="U29" s="327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 s="316" customFormat="1" ht="30" customHeight="1" x14ac:dyDescent="0.45">
      <c r="A30" s="332">
        <v>26</v>
      </c>
      <c r="B30" s="322" t="s">
        <v>216</v>
      </c>
      <c r="C30" s="322" t="s">
        <v>241</v>
      </c>
      <c r="D30" s="322" t="s">
        <v>247</v>
      </c>
      <c r="E30" s="322" t="s">
        <v>34</v>
      </c>
      <c r="F30" s="322" t="s">
        <v>219</v>
      </c>
      <c r="G30" s="323">
        <f t="shared" si="6"/>
        <v>58.38</v>
      </c>
      <c r="H30" s="324">
        <f t="shared" si="6"/>
        <v>2.4075000000000002</v>
      </c>
      <c r="I30" s="333">
        <f t="shared" si="6"/>
        <v>59.567500000000003</v>
      </c>
      <c r="J30" s="324">
        <f t="shared" si="2"/>
        <v>641</v>
      </c>
      <c r="K30" s="324">
        <f t="shared" si="6"/>
        <v>68.877500000000012</v>
      </c>
      <c r="L30" s="324">
        <f t="shared" si="3"/>
        <v>0</v>
      </c>
      <c r="M30" s="324">
        <v>0</v>
      </c>
      <c r="N30" s="324">
        <f t="shared" si="0"/>
        <v>29.755100000000006</v>
      </c>
      <c r="O30" s="324">
        <f t="shared" si="4"/>
        <v>90.542600000000007</v>
      </c>
      <c r="P30" s="324">
        <f t="shared" si="5"/>
        <v>975</v>
      </c>
      <c r="Q30" s="324">
        <f t="shared" si="1"/>
        <v>36.479690640491469</v>
      </c>
      <c r="R30" s="408">
        <v>1</v>
      </c>
      <c r="S30" s="352" t="s">
        <v>93</v>
      </c>
      <c r="T30" s="327"/>
      <c r="U30" s="327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 s="316" customFormat="1" ht="30" customHeight="1" x14ac:dyDescent="0.45">
      <c r="A31" s="332">
        <v>27</v>
      </c>
      <c r="B31" s="322" t="s">
        <v>216</v>
      </c>
      <c r="C31" s="322" t="s">
        <v>241</v>
      </c>
      <c r="D31" s="322" t="s">
        <v>248</v>
      </c>
      <c r="E31" s="322" t="s">
        <v>34</v>
      </c>
      <c r="F31" s="322" t="s">
        <v>219</v>
      </c>
      <c r="G31" s="323">
        <f t="shared" si="6"/>
        <v>58.38</v>
      </c>
      <c r="H31" s="324">
        <f t="shared" si="6"/>
        <v>2.4075000000000002</v>
      </c>
      <c r="I31" s="333">
        <f t="shared" si="6"/>
        <v>59.6175</v>
      </c>
      <c r="J31" s="324">
        <f t="shared" si="2"/>
        <v>642</v>
      </c>
      <c r="K31" s="324">
        <f t="shared" si="6"/>
        <v>68.947500000000005</v>
      </c>
      <c r="L31" s="324">
        <f t="shared" si="3"/>
        <v>0</v>
      </c>
      <c r="M31" s="324">
        <v>0</v>
      </c>
      <c r="N31" s="324">
        <f t="shared" si="0"/>
        <v>29.831099999999999</v>
      </c>
      <c r="O31" s="324">
        <f t="shared" si="4"/>
        <v>90.618600000000001</v>
      </c>
      <c r="P31" s="324">
        <f t="shared" si="5"/>
        <v>975</v>
      </c>
      <c r="Q31" s="324">
        <f t="shared" si="1"/>
        <v>36.51031110520838</v>
      </c>
      <c r="R31" s="409"/>
      <c r="S31" s="352" t="s">
        <v>93</v>
      </c>
      <c r="T31" s="327"/>
      <c r="U31" s="327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 s="316" customFormat="1" ht="30" customHeight="1" x14ac:dyDescent="0.45">
      <c r="A32" s="332">
        <v>28</v>
      </c>
      <c r="B32" s="322" t="s">
        <v>216</v>
      </c>
      <c r="C32" s="322" t="s">
        <v>241</v>
      </c>
      <c r="D32" s="322" t="s">
        <v>249</v>
      </c>
      <c r="E32" s="322" t="s">
        <v>36</v>
      </c>
      <c r="F32" s="322" t="s">
        <v>148</v>
      </c>
      <c r="G32" s="323">
        <f t="shared" si="6"/>
        <v>79.760000000000005</v>
      </c>
      <c r="H32" s="324">
        <f t="shared" si="6"/>
        <v>3.9775</v>
      </c>
      <c r="I32" s="333">
        <f t="shared" si="6"/>
        <v>81.487500000000011</v>
      </c>
      <c r="J32" s="324">
        <f t="shared" si="2"/>
        <v>877</v>
      </c>
      <c r="K32" s="324">
        <f t="shared" si="6"/>
        <v>94.45750000000001</v>
      </c>
      <c r="L32" s="324">
        <f t="shared" si="3"/>
        <v>0</v>
      </c>
      <c r="M32" s="324">
        <v>0</v>
      </c>
      <c r="N32" s="324">
        <f t="shared" si="0"/>
        <v>40.123500000000014</v>
      </c>
      <c r="O32" s="324">
        <f t="shared" si="4"/>
        <v>123.86100000000002</v>
      </c>
      <c r="P32" s="324">
        <f t="shared" si="5"/>
        <v>1333</v>
      </c>
      <c r="Q32" s="324">
        <f t="shared" si="1"/>
        <v>49.903702372385091</v>
      </c>
      <c r="R32" s="339" t="s">
        <v>93</v>
      </c>
      <c r="S32" s="352">
        <v>1</v>
      </c>
      <c r="T32" s="327"/>
      <c r="U32" s="327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 s="316" customFormat="1" ht="30" customHeight="1" x14ac:dyDescent="0.45">
      <c r="A33" s="332">
        <v>29</v>
      </c>
      <c r="B33" s="322" t="s">
        <v>216</v>
      </c>
      <c r="C33" s="322" t="s">
        <v>241</v>
      </c>
      <c r="D33" s="322" t="s">
        <v>250</v>
      </c>
      <c r="E33" s="322" t="s">
        <v>105</v>
      </c>
      <c r="F33" s="322" t="s">
        <v>223</v>
      </c>
      <c r="G33" s="323">
        <f t="shared" si="6"/>
        <v>93.52</v>
      </c>
      <c r="H33" s="324">
        <f t="shared" si="6"/>
        <v>6.7175000000000002</v>
      </c>
      <c r="I33" s="333">
        <f t="shared" si="6"/>
        <v>97.377500000000012</v>
      </c>
      <c r="J33" s="324">
        <f t="shared" si="2"/>
        <v>1048</v>
      </c>
      <c r="K33" s="324">
        <f t="shared" si="6"/>
        <v>111.20750000000001</v>
      </c>
      <c r="L33" s="324">
        <f t="shared" si="3"/>
        <v>0</v>
      </c>
      <c r="M33" s="324">
        <v>0</v>
      </c>
      <c r="N33" s="324">
        <f t="shared" si="0"/>
        <v>47.776300000000035</v>
      </c>
      <c r="O33" s="324">
        <f t="shared" si="4"/>
        <v>148.01380000000003</v>
      </c>
      <c r="P33" s="324">
        <f t="shared" si="5"/>
        <v>1593</v>
      </c>
      <c r="Q33" s="324">
        <f t="shared" si="1"/>
        <v>59.634886059419294</v>
      </c>
      <c r="R33" s="339" t="s">
        <v>93</v>
      </c>
      <c r="S33" s="352">
        <v>1</v>
      </c>
      <c r="T33" s="327"/>
      <c r="U33" s="327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1:42" s="316" customFormat="1" ht="30" customHeight="1" x14ac:dyDescent="0.45">
      <c r="A34" s="332">
        <v>30</v>
      </c>
      <c r="B34" s="322" t="s">
        <v>216</v>
      </c>
      <c r="C34" s="322" t="s">
        <v>241</v>
      </c>
      <c r="D34" s="322" t="s">
        <v>251</v>
      </c>
      <c r="E34" s="322" t="s">
        <v>34</v>
      </c>
      <c r="F34" s="322" t="s">
        <v>148</v>
      </c>
      <c r="G34" s="323">
        <f t="shared" si="6"/>
        <v>79.81</v>
      </c>
      <c r="H34" s="324">
        <f t="shared" si="6"/>
        <v>3.9775</v>
      </c>
      <c r="I34" s="333">
        <f t="shared" si="6"/>
        <v>81.597500000000011</v>
      </c>
      <c r="J34" s="324">
        <f t="shared" si="2"/>
        <v>878</v>
      </c>
      <c r="K34" s="324">
        <f t="shared" si="6"/>
        <v>93.997500000000002</v>
      </c>
      <c r="L34" s="324">
        <f t="shared" si="3"/>
        <v>0</v>
      </c>
      <c r="M34" s="324">
        <v>0</v>
      </c>
      <c r="N34" s="324">
        <f t="shared" si="0"/>
        <v>40.240700000000011</v>
      </c>
      <c r="O34" s="324">
        <f t="shared" si="4"/>
        <v>124.02820000000001</v>
      </c>
      <c r="P34" s="324">
        <f t="shared" si="5"/>
        <v>1335</v>
      </c>
      <c r="Q34" s="324">
        <f t="shared" si="1"/>
        <v>49.971067394762294</v>
      </c>
      <c r="R34" s="339" t="s">
        <v>93</v>
      </c>
      <c r="S34" s="352">
        <v>1</v>
      </c>
      <c r="T34" s="327"/>
      <c r="U34" s="327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 s="316" customFormat="1" ht="30" customHeight="1" x14ac:dyDescent="0.45">
      <c r="A35" s="332">
        <v>31</v>
      </c>
      <c r="B35" s="322" t="s">
        <v>216</v>
      </c>
      <c r="C35" s="322" t="s">
        <v>252</v>
      </c>
      <c r="D35" s="322" t="s">
        <v>253</v>
      </c>
      <c r="E35" s="322" t="s">
        <v>34</v>
      </c>
      <c r="F35" s="322" t="s">
        <v>219</v>
      </c>
      <c r="G35" s="323">
        <f t="shared" si="6"/>
        <v>58.38</v>
      </c>
      <c r="H35" s="324">
        <f t="shared" si="6"/>
        <v>2.4075000000000002</v>
      </c>
      <c r="I35" s="333">
        <f t="shared" si="6"/>
        <v>59.6175</v>
      </c>
      <c r="J35" s="324">
        <f t="shared" si="2"/>
        <v>642</v>
      </c>
      <c r="K35" s="324">
        <f t="shared" si="6"/>
        <v>68.947500000000005</v>
      </c>
      <c r="L35" s="324">
        <f t="shared" si="3"/>
        <v>0</v>
      </c>
      <c r="M35" s="324">
        <v>0</v>
      </c>
      <c r="N35" s="324">
        <f t="shared" si="0"/>
        <v>29.831099999999999</v>
      </c>
      <c r="O35" s="324">
        <f>I35*$T$1+L35</f>
        <v>90.618600000000001</v>
      </c>
      <c r="P35" s="324">
        <f t="shared" si="5"/>
        <v>975</v>
      </c>
      <c r="Q35" s="324">
        <f t="shared" si="1"/>
        <v>36.51031110520838</v>
      </c>
      <c r="R35" s="339" t="s">
        <v>93</v>
      </c>
      <c r="S35" s="352">
        <v>1</v>
      </c>
      <c r="T35" s="327"/>
      <c r="U35" s="327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1:42" s="316" customFormat="1" ht="30" customHeight="1" x14ac:dyDescent="0.45">
      <c r="A36" s="332">
        <v>32</v>
      </c>
      <c r="B36" s="322" t="s">
        <v>216</v>
      </c>
      <c r="C36" s="322" t="s">
        <v>252</v>
      </c>
      <c r="D36" s="322" t="s">
        <v>254</v>
      </c>
      <c r="E36" s="322" t="s">
        <v>34</v>
      </c>
      <c r="F36" s="322" t="s">
        <v>219</v>
      </c>
      <c r="G36" s="323">
        <f t="shared" si="6"/>
        <v>61.89</v>
      </c>
      <c r="H36" s="324">
        <f t="shared" si="6"/>
        <v>2.4075000000000002</v>
      </c>
      <c r="I36" s="333">
        <f t="shared" si="6"/>
        <v>63.0075</v>
      </c>
      <c r="J36" s="324">
        <f t="shared" si="2"/>
        <v>678</v>
      </c>
      <c r="K36" s="324">
        <f t="shared" si="6"/>
        <v>72.967500000000001</v>
      </c>
      <c r="L36" s="324">
        <f t="shared" si="3"/>
        <v>0</v>
      </c>
      <c r="M36" s="324">
        <v>0</v>
      </c>
      <c r="N36" s="324">
        <f t="shared" si="0"/>
        <v>31.4739</v>
      </c>
      <c r="O36" s="324">
        <f t="shared" si="4"/>
        <v>95.7714</v>
      </c>
      <c r="P36" s="324">
        <f t="shared" si="5"/>
        <v>1031</v>
      </c>
      <c r="Q36" s="324">
        <f t="shared" si="1"/>
        <v>38.586378613014922</v>
      </c>
      <c r="R36" s="339" t="s">
        <v>93</v>
      </c>
      <c r="S36" s="352">
        <v>1</v>
      </c>
      <c r="T36" s="327"/>
      <c r="U36" s="327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1:42" s="316" customFormat="1" ht="30" customHeight="1" x14ac:dyDescent="0.45">
      <c r="A37" s="332">
        <v>33</v>
      </c>
      <c r="B37" s="322" t="s">
        <v>216</v>
      </c>
      <c r="C37" s="322" t="s">
        <v>252</v>
      </c>
      <c r="D37" s="322" t="s">
        <v>255</v>
      </c>
      <c r="E37" s="322" t="s">
        <v>36</v>
      </c>
      <c r="F37" s="322" t="s">
        <v>148</v>
      </c>
      <c r="G37" s="323">
        <f t="shared" si="6"/>
        <v>79.680000000000007</v>
      </c>
      <c r="H37" s="324">
        <f t="shared" si="6"/>
        <v>4.0975000000000001</v>
      </c>
      <c r="I37" s="333">
        <f t="shared" si="6"/>
        <v>81.507500000000007</v>
      </c>
      <c r="J37" s="324">
        <f t="shared" si="2"/>
        <v>877</v>
      </c>
      <c r="K37" s="324">
        <f t="shared" si="6"/>
        <v>94.397500000000008</v>
      </c>
      <c r="L37" s="324">
        <f t="shared" si="3"/>
        <v>0</v>
      </c>
      <c r="M37" s="324">
        <v>0</v>
      </c>
      <c r="N37" s="324">
        <f t="shared" ref="N37:N54" si="7">O37-G37-H37-L37</f>
        <v>40.113900000000015</v>
      </c>
      <c r="O37" s="324">
        <f t="shared" si="4"/>
        <v>123.89140000000002</v>
      </c>
      <c r="P37" s="324">
        <f t="shared" si="5"/>
        <v>1334</v>
      </c>
      <c r="Q37" s="324">
        <f t="shared" ref="Q37:Q54" si="8">O37/$O$150*$H$153</f>
        <v>49.915950558271859</v>
      </c>
      <c r="R37" s="339" t="s">
        <v>93</v>
      </c>
      <c r="S37" s="352">
        <v>1</v>
      </c>
      <c r="T37" s="327"/>
      <c r="U37" s="32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 s="316" customFormat="1" ht="30" customHeight="1" x14ac:dyDescent="0.45">
      <c r="A38" s="332">
        <v>34</v>
      </c>
      <c r="B38" s="322" t="s">
        <v>216</v>
      </c>
      <c r="C38" s="322" t="s">
        <v>252</v>
      </c>
      <c r="D38" s="322" t="s">
        <v>256</v>
      </c>
      <c r="E38" s="322" t="s">
        <v>105</v>
      </c>
      <c r="F38" s="322" t="s">
        <v>223</v>
      </c>
      <c r="G38" s="323">
        <f t="shared" si="6"/>
        <v>94.77</v>
      </c>
      <c r="H38" s="324">
        <f t="shared" si="6"/>
        <v>9.8624999999999989</v>
      </c>
      <c r="I38" s="333">
        <f t="shared" si="6"/>
        <v>101.7525</v>
      </c>
      <c r="J38" s="324">
        <f t="shared" si="2"/>
        <v>1095</v>
      </c>
      <c r="K38" s="324">
        <f t="shared" si="6"/>
        <v>115.6825</v>
      </c>
      <c r="L38" s="324">
        <f t="shared" si="3"/>
        <v>0</v>
      </c>
      <c r="M38" s="324">
        <v>0</v>
      </c>
      <c r="N38" s="324">
        <f t="shared" si="7"/>
        <v>50.031300000000016</v>
      </c>
      <c r="O38" s="324">
        <f t="shared" si="4"/>
        <v>154.66380000000001</v>
      </c>
      <c r="P38" s="324">
        <f t="shared" si="5"/>
        <v>1665</v>
      </c>
      <c r="Q38" s="324">
        <f t="shared" si="8"/>
        <v>62.314176722148957</v>
      </c>
      <c r="R38" s="339" t="s">
        <v>93</v>
      </c>
      <c r="S38" s="352">
        <v>1</v>
      </c>
      <c r="T38" s="327"/>
      <c r="U38" s="327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 s="316" customFormat="1" ht="30" customHeight="1" x14ac:dyDescent="0.45">
      <c r="A39" s="332">
        <v>35</v>
      </c>
      <c r="B39" s="322" t="s">
        <v>216</v>
      </c>
      <c r="C39" s="322" t="s">
        <v>252</v>
      </c>
      <c r="D39" s="322" t="s">
        <v>257</v>
      </c>
      <c r="E39" s="322" t="s">
        <v>36</v>
      </c>
      <c r="F39" s="322" t="s">
        <v>219</v>
      </c>
      <c r="G39" s="323">
        <f t="shared" si="6"/>
        <v>61.43</v>
      </c>
      <c r="H39" s="324">
        <f t="shared" si="6"/>
        <v>3.7875000000000001</v>
      </c>
      <c r="I39" s="333">
        <f t="shared" si="6"/>
        <v>63.387499999999996</v>
      </c>
      <c r="J39" s="324">
        <f t="shared" si="2"/>
        <v>682</v>
      </c>
      <c r="K39" s="324">
        <f t="shared" si="6"/>
        <v>73.287500000000009</v>
      </c>
      <c r="L39" s="324">
        <f t="shared" si="3"/>
        <v>0</v>
      </c>
      <c r="M39" s="324">
        <v>0</v>
      </c>
      <c r="N39" s="324">
        <f t="shared" si="7"/>
        <v>31.131499999999988</v>
      </c>
      <c r="O39" s="324">
        <f t="shared" si="4"/>
        <v>96.34899999999999</v>
      </c>
      <c r="P39" s="324">
        <f t="shared" si="5"/>
        <v>1037</v>
      </c>
      <c r="Q39" s="324">
        <f t="shared" si="8"/>
        <v>38.819094144863435</v>
      </c>
      <c r="R39" s="339">
        <v>1</v>
      </c>
      <c r="S39" s="352" t="s">
        <v>93</v>
      </c>
      <c r="T39" s="327"/>
      <c r="U39" s="327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 s="316" customFormat="1" ht="30" customHeight="1" x14ac:dyDescent="0.45">
      <c r="A40" s="332">
        <v>36</v>
      </c>
      <c r="B40" s="322" t="s">
        <v>216</v>
      </c>
      <c r="C40" s="322" t="s">
        <v>252</v>
      </c>
      <c r="D40" s="322" t="s">
        <v>258</v>
      </c>
      <c r="E40" s="322" t="s">
        <v>34</v>
      </c>
      <c r="F40" s="322" t="s">
        <v>219</v>
      </c>
      <c r="G40" s="323">
        <f t="shared" si="6"/>
        <v>58.38</v>
      </c>
      <c r="H40" s="324">
        <f t="shared" si="6"/>
        <v>2.4075000000000002</v>
      </c>
      <c r="I40" s="333">
        <f t="shared" si="6"/>
        <v>59.567500000000003</v>
      </c>
      <c r="J40" s="324">
        <f t="shared" si="2"/>
        <v>641</v>
      </c>
      <c r="K40" s="324">
        <f t="shared" si="6"/>
        <v>68.877500000000012</v>
      </c>
      <c r="L40" s="324">
        <f t="shared" si="3"/>
        <v>0</v>
      </c>
      <c r="M40" s="324">
        <v>0</v>
      </c>
      <c r="N40" s="324">
        <f t="shared" si="7"/>
        <v>29.755100000000006</v>
      </c>
      <c r="O40" s="324">
        <f t="shared" si="4"/>
        <v>90.542600000000007</v>
      </c>
      <c r="P40" s="324">
        <f t="shared" si="5"/>
        <v>975</v>
      </c>
      <c r="Q40" s="324">
        <f t="shared" si="8"/>
        <v>36.479690640491469</v>
      </c>
      <c r="R40" s="339" t="s">
        <v>93</v>
      </c>
      <c r="S40" s="393">
        <v>1</v>
      </c>
      <c r="T40" s="327"/>
      <c r="U40" s="327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s="316" customFormat="1" ht="30" customHeight="1" x14ac:dyDescent="0.45">
      <c r="A41" s="332">
        <v>37</v>
      </c>
      <c r="B41" s="322" t="s">
        <v>216</v>
      </c>
      <c r="C41" s="322" t="s">
        <v>252</v>
      </c>
      <c r="D41" s="322" t="s">
        <v>259</v>
      </c>
      <c r="E41" s="322" t="s">
        <v>34</v>
      </c>
      <c r="F41" s="322" t="s">
        <v>219</v>
      </c>
      <c r="G41" s="323">
        <f t="shared" si="6"/>
        <v>58.38</v>
      </c>
      <c r="H41" s="324">
        <f t="shared" si="6"/>
        <v>2.4075000000000002</v>
      </c>
      <c r="I41" s="333">
        <f t="shared" si="6"/>
        <v>59.6175</v>
      </c>
      <c r="J41" s="324">
        <f t="shared" si="2"/>
        <v>642</v>
      </c>
      <c r="K41" s="324">
        <f t="shared" si="6"/>
        <v>68.947500000000005</v>
      </c>
      <c r="L41" s="324">
        <f t="shared" si="3"/>
        <v>0</v>
      </c>
      <c r="M41" s="324">
        <v>0</v>
      </c>
      <c r="N41" s="324">
        <f t="shared" si="7"/>
        <v>29.831099999999999</v>
      </c>
      <c r="O41" s="324">
        <f t="shared" si="4"/>
        <v>90.618600000000001</v>
      </c>
      <c r="P41" s="324">
        <f t="shared" si="5"/>
        <v>975</v>
      </c>
      <c r="Q41" s="324">
        <f t="shared" si="8"/>
        <v>36.51031110520838</v>
      </c>
      <c r="R41" s="339" t="s">
        <v>93</v>
      </c>
      <c r="S41" s="394"/>
      <c r="T41" s="327"/>
      <c r="U41" s="327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 s="316" customFormat="1" ht="30" customHeight="1" x14ac:dyDescent="0.45">
      <c r="A42" s="332">
        <v>38</v>
      </c>
      <c r="B42" s="322" t="s">
        <v>216</v>
      </c>
      <c r="C42" s="322" t="s">
        <v>252</v>
      </c>
      <c r="D42" s="322" t="s">
        <v>260</v>
      </c>
      <c r="E42" s="322" t="s">
        <v>36</v>
      </c>
      <c r="F42" s="322" t="s">
        <v>148</v>
      </c>
      <c r="G42" s="323">
        <f t="shared" si="6"/>
        <v>79.760000000000005</v>
      </c>
      <c r="H42" s="324">
        <f t="shared" si="6"/>
        <v>3.9775</v>
      </c>
      <c r="I42" s="333">
        <f t="shared" si="6"/>
        <v>81.487500000000011</v>
      </c>
      <c r="J42" s="324">
        <f t="shared" si="2"/>
        <v>877</v>
      </c>
      <c r="K42" s="324">
        <f t="shared" si="6"/>
        <v>94.45750000000001</v>
      </c>
      <c r="L42" s="324">
        <f t="shared" si="3"/>
        <v>0</v>
      </c>
      <c r="M42" s="324">
        <v>0</v>
      </c>
      <c r="N42" s="324">
        <f t="shared" si="7"/>
        <v>40.123500000000014</v>
      </c>
      <c r="O42" s="324">
        <f t="shared" si="4"/>
        <v>123.86100000000002</v>
      </c>
      <c r="P42" s="324">
        <f t="shared" si="5"/>
        <v>1333</v>
      </c>
      <c r="Q42" s="324">
        <f t="shared" si="8"/>
        <v>49.903702372385091</v>
      </c>
      <c r="R42" s="339" t="s">
        <v>93</v>
      </c>
      <c r="S42" s="352">
        <v>1</v>
      </c>
      <c r="T42" s="327"/>
      <c r="U42" s="327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1:42" s="316" customFormat="1" ht="30" customHeight="1" x14ac:dyDescent="0.45">
      <c r="A43" s="332">
        <v>39</v>
      </c>
      <c r="B43" s="322" t="s">
        <v>216</v>
      </c>
      <c r="C43" s="322" t="s">
        <v>252</v>
      </c>
      <c r="D43" s="322" t="s">
        <v>261</v>
      </c>
      <c r="E43" s="322" t="s">
        <v>105</v>
      </c>
      <c r="F43" s="322" t="s">
        <v>223</v>
      </c>
      <c r="G43" s="323">
        <f t="shared" si="6"/>
        <v>93.52</v>
      </c>
      <c r="H43" s="324">
        <f t="shared" si="6"/>
        <v>6.7175000000000002</v>
      </c>
      <c r="I43" s="333">
        <f t="shared" si="6"/>
        <v>97.377500000000012</v>
      </c>
      <c r="J43" s="324">
        <f t="shared" si="2"/>
        <v>1048</v>
      </c>
      <c r="K43" s="324">
        <f t="shared" si="6"/>
        <v>111.20750000000001</v>
      </c>
      <c r="L43" s="324">
        <f t="shared" si="3"/>
        <v>0</v>
      </c>
      <c r="M43" s="324">
        <v>0</v>
      </c>
      <c r="N43" s="324">
        <f t="shared" si="7"/>
        <v>47.776300000000035</v>
      </c>
      <c r="O43" s="324">
        <f t="shared" si="4"/>
        <v>148.01380000000003</v>
      </c>
      <c r="P43" s="324">
        <f t="shared" si="5"/>
        <v>1593</v>
      </c>
      <c r="Q43" s="324">
        <f t="shared" si="8"/>
        <v>59.634886059419294</v>
      </c>
      <c r="R43" s="339" t="s">
        <v>93</v>
      </c>
      <c r="S43" s="352">
        <v>1</v>
      </c>
      <c r="T43" s="327"/>
      <c r="U43" s="327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 s="316" customFormat="1" ht="30" customHeight="1" x14ac:dyDescent="0.45">
      <c r="A44" s="332">
        <v>40</v>
      </c>
      <c r="B44" s="322" t="s">
        <v>216</v>
      </c>
      <c r="C44" s="322" t="s">
        <v>252</v>
      </c>
      <c r="D44" s="322" t="s">
        <v>262</v>
      </c>
      <c r="E44" s="322" t="s">
        <v>34</v>
      </c>
      <c r="F44" s="322" t="s">
        <v>148</v>
      </c>
      <c r="G44" s="323">
        <f t="shared" si="6"/>
        <v>79.81</v>
      </c>
      <c r="H44" s="324">
        <f t="shared" si="6"/>
        <v>3.9775</v>
      </c>
      <c r="I44" s="333">
        <f t="shared" si="6"/>
        <v>81.597500000000011</v>
      </c>
      <c r="J44" s="324">
        <f t="shared" si="2"/>
        <v>878</v>
      </c>
      <c r="K44" s="324">
        <f t="shared" si="6"/>
        <v>93.997500000000002</v>
      </c>
      <c r="L44" s="324">
        <f t="shared" si="3"/>
        <v>0</v>
      </c>
      <c r="M44" s="324">
        <v>0</v>
      </c>
      <c r="N44" s="324">
        <f t="shared" si="7"/>
        <v>40.240700000000011</v>
      </c>
      <c r="O44" s="324">
        <f t="shared" si="4"/>
        <v>124.02820000000001</v>
      </c>
      <c r="P44" s="324">
        <f t="shared" si="5"/>
        <v>1335</v>
      </c>
      <c r="Q44" s="324">
        <f t="shared" si="8"/>
        <v>49.971067394762294</v>
      </c>
      <c r="R44" s="339" t="s">
        <v>93</v>
      </c>
      <c r="S44" s="352">
        <v>1</v>
      </c>
      <c r="T44" s="327"/>
      <c r="U44" s="327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 s="316" customFormat="1" ht="30" customHeight="1" x14ac:dyDescent="0.45">
      <c r="A45" s="332">
        <v>41</v>
      </c>
      <c r="B45" s="322" t="s">
        <v>216</v>
      </c>
      <c r="C45" s="322" t="s">
        <v>263</v>
      </c>
      <c r="D45" s="322" t="s">
        <v>264</v>
      </c>
      <c r="E45" s="322" t="s">
        <v>34</v>
      </c>
      <c r="F45" s="322" t="s">
        <v>219</v>
      </c>
      <c r="G45" s="323">
        <f t="shared" si="6"/>
        <v>58.38</v>
      </c>
      <c r="H45" s="324">
        <f t="shared" si="6"/>
        <v>2.4075000000000002</v>
      </c>
      <c r="I45" s="333">
        <f t="shared" si="6"/>
        <v>59.6175</v>
      </c>
      <c r="J45" s="324">
        <f t="shared" si="2"/>
        <v>642</v>
      </c>
      <c r="K45" s="324">
        <f t="shared" si="6"/>
        <v>68.947500000000005</v>
      </c>
      <c r="L45" s="324">
        <f t="shared" si="3"/>
        <v>0</v>
      </c>
      <c r="M45" s="324">
        <v>0</v>
      </c>
      <c r="N45" s="324">
        <f t="shared" si="7"/>
        <v>29.831099999999999</v>
      </c>
      <c r="O45" s="324">
        <f>I45*$T$1+L45</f>
        <v>90.618600000000001</v>
      </c>
      <c r="P45" s="324">
        <f t="shared" si="5"/>
        <v>975</v>
      </c>
      <c r="Q45" s="324">
        <f t="shared" si="8"/>
        <v>36.51031110520838</v>
      </c>
      <c r="R45" s="339" t="s">
        <v>93</v>
      </c>
      <c r="S45" s="352">
        <v>1</v>
      </c>
      <c r="T45" s="327"/>
      <c r="U45" s="327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 s="316" customFormat="1" ht="30" customHeight="1" x14ac:dyDescent="0.45">
      <c r="A46" s="332">
        <v>42</v>
      </c>
      <c r="B46" s="322" t="s">
        <v>216</v>
      </c>
      <c r="C46" s="322" t="s">
        <v>263</v>
      </c>
      <c r="D46" s="322" t="s">
        <v>265</v>
      </c>
      <c r="E46" s="322" t="s">
        <v>34</v>
      </c>
      <c r="F46" s="322" t="s">
        <v>219</v>
      </c>
      <c r="G46" s="323">
        <f t="shared" si="6"/>
        <v>61.89</v>
      </c>
      <c r="H46" s="324">
        <f t="shared" si="6"/>
        <v>2.4075000000000002</v>
      </c>
      <c r="I46" s="333">
        <f t="shared" si="6"/>
        <v>63.0075</v>
      </c>
      <c r="J46" s="324">
        <f t="shared" si="2"/>
        <v>678</v>
      </c>
      <c r="K46" s="324">
        <f t="shared" si="6"/>
        <v>72.967500000000001</v>
      </c>
      <c r="L46" s="324">
        <f t="shared" si="3"/>
        <v>0</v>
      </c>
      <c r="M46" s="324">
        <v>0</v>
      </c>
      <c r="N46" s="324">
        <f t="shared" si="7"/>
        <v>31.4739</v>
      </c>
      <c r="O46" s="324">
        <f t="shared" si="4"/>
        <v>95.7714</v>
      </c>
      <c r="P46" s="324">
        <f t="shared" si="5"/>
        <v>1031</v>
      </c>
      <c r="Q46" s="324">
        <f t="shared" si="8"/>
        <v>38.586378613014922</v>
      </c>
      <c r="R46" s="339" t="s">
        <v>93</v>
      </c>
      <c r="S46" s="352">
        <v>1</v>
      </c>
      <c r="T46" s="327"/>
      <c r="U46" s="327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1:42" s="316" customFormat="1" ht="30" customHeight="1" x14ac:dyDescent="0.45">
      <c r="A47" s="332">
        <v>43</v>
      </c>
      <c r="B47" s="322" t="s">
        <v>216</v>
      </c>
      <c r="C47" s="322" t="s">
        <v>263</v>
      </c>
      <c r="D47" s="322" t="s">
        <v>266</v>
      </c>
      <c r="E47" s="322" t="s">
        <v>36</v>
      </c>
      <c r="F47" s="322" t="s">
        <v>148</v>
      </c>
      <c r="G47" s="323">
        <f t="shared" si="6"/>
        <v>79.680000000000007</v>
      </c>
      <c r="H47" s="324">
        <f t="shared" si="6"/>
        <v>4.0975000000000001</v>
      </c>
      <c r="I47" s="333">
        <f t="shared" si="6"/>
        <v>81.507500000000007</v>
      </c>
      <c r="J47" s="324">
        <f t="shared" si="2"/>
        <v>877</v>
      </c>
      <c r="K47" s="324">
        <f t="shared" si="6"/>
        <v>94.397500000000008</v>
      </c>
      <c r="L47" s="324">
        <f t="shared" si="3"/>
        <v>0</v>
      </c>
      <c r="M47" s="324">
        <v>0</v>
      </c>
      <c r="N47" s="324">
        <f t="shared" si="7"/>
        <v>40.113900000000015</v>
      </c>
      <c r="O47" s="324">
        <f t="shared" si="4"/>
        <v>123.89140000000002</v>
      </c>
      <c r="P47" s="324">
        <f t="shared" si="5"/>
        <v>1334</v>
      </c>
      <c r="Q47" s="324">
        <f t="shared" si="8"/>
        <v>49.915950558271859</v>
      </c>
      <c r="R47" s="339" t="s">
        <v>93</v>
      </c>
      <c r="S47" s="352">
        <v>1</v>
      </c>
      <c r="T47" s="327"/>
      <c r="U47" s="32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 s="316" customFormat="1" ht="30" customHeight="1" x14ac:dyDescent="0.45">
      <c r="A48" s="332">
        <v>44</v>
      </c>
      <c r="B48" s="322" t="s">
        <v>216</v>
      </c>
      <c r="C48" s="322" t="s">
        <v>263</v>
      </c>
      <c r="D48" s="322" t="s">
        <v>267</v>
      </c>
      <c r="E48" s="322" t="s">
        <v>105</v>
      </c>
      <c r="F48" s="322" t="s">
        <v>223</v>
      </c>
      <c r="G48" s="323">
        <f t="shared" si="6"/>
        <v>94.77</v>
      </c>
      <c r="H48" s="324">
        <f t="shared" si="6"/>
        <v>9.8624999999999989</v>
      </c>
      <c r="I48" s="333">
        <f t="shared" si="6"/>
        <v>101.7525</v>
      </c>
      <c r="J48" s="324">
        <f t="shared" si="2"/>
        <v>1095</v>
      </c>
      <c r="K48" s="324">
        <f t="shared" si="6"/>
        <v>115.6825</v>
      </c>
      <c r="L48" s="324">
        <f t="shared" si="3"/>
        <v>0</v>
      </c>
      <c r="M48" s="324">
        <v>0</v>
      </c>
      <c r="N48" s="324">
        <f t="shared" si="7"/>
        <v>50.031300000000016</v>
      </c>
      <c r="O48" s="324">
        <f t="shared" si="4"/>
        <v>154.66380000000001</v>
      </c>
      <c r="P48" s="324">
        <f t="shared" si="5"/>
        <v>1665</v>
      </c>
      <c r="Q48" s="324">
        <f t="shared" si="8"/>
        <v>62.314176722148957</v>
      </c>
      <c r="R48" s="339" t="s">
        <v>93</v>
      </c>
      <c r="S48" s="352">
        <v>1</v>
      </c>
      <c r="T48" s="327"/>
      <c r="U48" s="327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s="316" customFormat="1" ht="30" customHeight="1" x14ac:dyDescent="0.45">
      <c r="A49" s="332">
        <v>45</v>
      </c>
      <c r="B49" s="322" t="s">
        <v>216</v>
      </c>
      <c r="C49" s="322" t="s">
        <v>263</v>
      </c>
      <c r="D49" s="322" t="s">
        <v>268</v>
      </c>
      <c r="E49" s="322" t="s">
        <v>36</v>
      </c>
      <c r="F49" s="322" t="s">
        <v>219</v>
      </c>
      <c r="G49" s="323">
        <f t="shared" si="6"/>
        <v>61.43</v>
      </c>
      <c r="H49" s="324">
        <f t="shared" si="6"/>
        <v>3.7875000000000001</v>
      </c>
      <c r="I49" s="333">
        <f t="shared" si="6"/>
        <v>63.387499999999996</v>
      </c>
      <c r="J49" s="324">
        <f t="shared" si="2"/>
        <v>682</v>
      </c>
      <c r="K49" s="324">
        <f t="shared" si="6"/>
        <v>73.287500000000009</v>
      </c>
      <c r="L49" s="324">
        <f t="shared" si="3"/>
        <v>0</v>
      </c>
      <c r="M49" s="324">
        <v>0</v>
      </c>
      <c r="N49" s="324">
        <f t="shared" si="7"/>
        <v>31.131499999999988</v>
      </c>
      <c r="O49" s="324">
        <f t="shared" si="4"/>
        <v>96.34899999999999</v>
      </c>
      <c r="P49" s="324">
        <f t="shared" si="5"/>
        <v>1037</v>
      </c>
      <c r="Q49" s="324">
        <f t="shared" si="8"/>
        <v>38.819094144863435</v>
      </c>
      <c r="R49" s="339">
        <v>1</v>
      </c>
      <c r="S49" s="352" t="s">
        <v>93</v>
      </c>
      <c r="T49" s="327"/>
      <c r="U49" s="327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s="316" customFormat="1" ht="30" customHeight="1" x14ac:dyDescent="0.45">
      <c r="A50" s="332">
        <v>46</v>
      </c>
      <c r="B50" s="322" t="s">
        <v>216</v>
      </c>
      <c r="C50" s="322" t="s">
        <v>263</v>
      </c>
      <c r="D50" s="322" t="s">
        <v>269</v>
      </c>
      <c r="E50" s="322" t="s">
        <v>34</v>
      </c>
      <c r="F50" s="322" t="s">
        <v>219</v>
      </c>
      <c r="G50" s="323">
        <f t="shared" si="6"/>
        <v>58.38</v>
      </c>
      <c r="H50" s="324">
        <f t="shared" si="6"/>
        <v>2.4075000000000002</v>
      </c>
      <c r="I50" s="333">
        <f t="shared" si="6"/>
        <v>59.567500000000003</v>
      </c>
      <c r="J50" s="324">
        <f t="shared" si="2"/>
        <v>641</v>
      </c>
      <c r="K50" s="324">
        <f t="shared" si="6"/>
        <v>68.877500000000012</v>
      </c>
      <c r="L50" s="324">
        <f t="shared" si="3"/>
        <v>0</v>
      </c>
      <c r="M50" s="324">
        <v>0</v>
      </c>
      <c r="N50" s="324">
        <f t="shared" si="7"/>
        <v>29.755100000000006</v>
      </c>
      <c r="O50" s="324">
        <f t="shared" si="4"/>
        <v>90.542600000000007</v>
      </c>
      <c r="P50" s="324">
        <f t="shared" si="5"/>
        <v>975</v>
      </c>
      <c r="Q50" s="324">
        <f t="shared" si="8"/>
        <v>36.479690640491469</v>
      </c>
      <c r="R50" s="408">
        <v>1</v>
      </c>
      <c r="S50" s="352" t="s">
        <v>93</v>
      </c>
      <c r="T50" s="327"/>
      <c r="U50" s="327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s="316" customFormat="1" ht="30" customHeight="1" x14ac:dyDescent="0.45">
      <c r="A51" s="332">
        <v>47</v>
      </c>
      <c r="B51" s="322" t="s">
        <v>216</v>
      </c>
      <c r="C51" s="322" t="s">
        <v>263</v>
      </c>
      <c r="D51" s="322" t="s">
        <v>270</v>
      </c>
      <c r="E51" s="322" t="s">
        <v>34</v>
      </c>
      <c r="F51" s="322" t="s">
        <v>219</v>
      </c>
      <c r="G51" s="323">
        <f t="shared" si="6"/>
        <v>58.38</v>
      </c>
      <c r="H51" s="324">
        <f t="shared" si="6"/>
        <v>2.4075000000000002</v>
      </c>
      <c r="I51" s="333">
        <f t="shared" si="6"/>
        <v>59.6175</v>
      </c>
      <c r="J51" s="324">
        <f t="shared" si="2"/>
        <v>642</v>
      </c>
      <c r="K51" s="324">
        <f t="shared" si="6"/>
        <v>68.947500000000005</v>
      </c>
      <c r="L51" s="324">
        <f t="shared" si="3"/>
        <v>0</v>
      </c>
      <c r="M51" s="324">
        <v>0</v>
      </c>
      <c r="N51" s="324">
        <f t="shared" si="7"/>
        <v>29.831099999999999</v>
      </c>
      <c r="O51" s="324">
        <f t="shared" si="4"/>
        <v>90.618600000000001</v>
      </c>
      <c r="P51" s="324">
        <f t="shared" si="5"/>
        <v>975</v>
      </c>
      <c r="Q51" s="324">
        <f t="shared" si="8"/>
        <v>36.51031110520838</v>
      </c>
      <c r="R51" s="409"/>
      <c r="S51" s="352" t="s">
        <v>93</v>
      </c>
      <c r="T51" s="327"/>
      <c r="U51" s="327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s="316" customFormat="1" ht="30" customHeight="1" x14ac:dyDescent="0.45">
      <c r="A52" s="332">
        <v>48</v>
      </c>
      <c r="B52" s="322" t="s">
        <v>216</v>
      </c>
      <c r="C52" s="322" t="s">
        <v>263</v>
      </c>
      <c r="D52" s="322" t="s">
        <v>271</v>
      </c>
      <c r="E52" s="322" t="s">
        <v>36</v>
      </c>
      <c r="F52" s="322" t="s">
        <v>148</v>
      </c>
      <c r="G52" s="323">
        <f t="shared" si="6"/>
        <v>79.760000000000005</v>
      </c>
      <c r="H52" s="324">
        <f t="shared" si="6"/>
        <v>3.9775</v>
      </c>
      <c r="I52" s="333">
        <f t="shared" si="6"/>
        <v>81.487500000000011</v>
      </c>
      <c r="J52" s="324">
        <f t="shared" si="2"/>
        <v>877</v>
      </c>
      <c r="K52" s="324">
        <f t="shared" si="6"/>
        <v>94.45750000000001</v>
      </c>
      <c r="L52" s="324">
        <f t="shared" si="3"/>
        <v>0</v>
      </c>
      <c r="M52" s="324">
        <v>0</v>
      </c>
      <c r="N52" s="324">
        <f t="shared" si="7"/>
        <v>40.123500000000014</v>
      </c>
      <c r="O52" s="324">
        <f t="shared" si="4"/>
        <v>123.86100000000002</v>
      </c>
      <c r="P52" s="324">
        <f t="shared" si="5"/>
        <v>1333</v>
      </c>
      <c r="Q52" s="324">
        <f t="shared" si="8"/>
        <v>49.903702372385091</v>
      </c>
      <c r="R52" s="339" t="s">
        <v>93</v>
      </c>
      <c r="S52" s="352">
        <v>1</v>
      </c>
      <c r="T52" s="327"/>
      <c r="U52" s="327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s="316" customFormat="1" ht="30" customHeight="1" x14ac:dyDescent="0.45">
      <c r="A53" s="332">
        <v>49</v>
      </c>
      <c r="B53" s="322" t="s">
        <v>216</v>
      </c>
      <c r="C53" s="322" t="s">
        <v>263</v>
      </c>
      <c r="D53" s="322" t="s">
        <v>272</v>
      </c>
      <c r="E53" s="322" t="s">
        <v>105</v>
      </c>
      <c r="F53" s="322" t="s">
        <v>223</v>
      </c>
      <c r="G53" s="323">
        <f t="shared" si="6"/>
        <v>93.52</v>
      </c>
      <c r="H53" s="324">
        <f t="shared" si="6"/>
        <v>6.7175000000000002</v>
      </c>
      <c r="I53" s="333">
        <f t="shared" si="6"/>
        <v>97.377500000000012</v>
      </c>
      <c r="J53" s="324">
        <f t="shared" si="2"/>
        <v>1048</v>
      </c>
      <c r="K53" s="324">
        <f t="shared" si="6"/>
        <v>111.20750000000001</v>
      </c>
      <c r="L53" s="324">
        <f t="shared" si="3"/>
        <v>0</v>
      </c>
      <c r="M53" s="324">
        <v>0</v>
      </c>
      <c r="N53" s="324">
        <f t="shared" si="7"/>
        <v>47.776300000000035</v>
      </c>
      <c r="O53" s="324">
        <f t="shared" si="4"/>
        <v>148.01380000000003</v>
      </c>
      <c r="P53" s="324">
        <f t="shared" si="5"/>
        <v>1593</v>
      </c>
      <c r="Q53" s="324">
        <f t="shared" si="8"/>
        <v>59.634886059419294</v>
      </c>
      <c r="R53" s="339" t="s">
        <v>93</v>
      </c>
      <c r="S53" s="352">
        <v>1</v>
      </c>
      <c r="T53" s="327"/>
      <c r="U53" s="327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ht="30" customHeight="1" x14ac:dyDescent="0.45">
      <c r="A54" s="331">
        <v>50</v>
      </c>
      <c r="B54" s="322" t="s">
        <v>216</v>
      </c>
      <c r="C54" s="328" t="s">
        <v>263</v>
      </c>
      <c r="D54" s="328" t="s">
        <v>273</v>
      </c>
      <c r="E54" s="322" t="s">
        <v>34</v>
      </c>
      <c r="F54" s="328" t="s">
        <v>148</v>
      </c>
      <c r="G54" s="329">
        <f t="shared" si="6"/>
        <v>79.81</v>
      </c>
      <c r="H54" s="330">
        <f t="shared" si="6"/>
        <v>3.9775</v>
      </c>
      <c r="I54" s="333">
        <f t="shared" si="6"/>
        <v>81.597500000000011</v>
      </c>
      <c r="J54" s="324">
        <f t="shared" si="2"/>
        <v>878</v>
      </c>
      <c r="K54" s="330">
        <f t="shared" si="6"/>
        <v>93.997500000000002</v>
      </c>
      <c r="L54" s="330">
        <f t="shared" si="3"/>
        <v>0</v>
      </c>
      <c r="M54" s="330">
        <v>0</v>
      </c>
      <c r="N54" s="330">
        <f t="shared" si="7"/>
        <v>40.240700000000011</v>
      </c>
      <c r="O54" s="330">
        <f t="shared" si="4"/>
        <v>124.02820000000001</v>
      </c>
      <c r="P54" s="330">
        <f t="shared" si="5"/>
        <v>1335</v>
      </c>
      <c r="Q54" s="330">
        <f t="shared" si="8"/>
        <v>49.971067394762294</v>
      </c>
      <c r="R54" s="339" t="s">
        <v>93</v>
      </c>
      <c r="S54" s="352">
        <v>1</v>
      </c>
      <c r="T54" s="291"/>
      <c r="U54" s="291"/>
    </row>
    <row r="55" spans="1:42" ht="30" customHeight="1" x14ac:dyDescent="0.35">
      <c r="A55" s="395" t="s">
        <v>387</v>
      </c>
      <c r="B55" s="396"/>
      <c r="C55" s="396"/>
      <c r="D55" s="396"/>
      <c r="E55" s="396"/>
      <c r="F55" s="397"/>
      <c r="G55" s="335">
        <f t="shared" ref="G55:S55" si="9">SUM(G5:G54)</f>
        <v>3630.0000000000009</v>
      </c>
      <c r="H55" s="336">
        <f t="shared" si="9"/>
        <v>210.24999999999997</v>
      </c>
      <c r="I55" s="337">
        <f t="shared" si="9"/>
        <v>3744.6000000000008</v>
      </c>
      <c r="J55" s="337">
        <f t="shared" si="9"/>
        <v>40300</v>
      </c>
      <c r="K55" s="337">
        <f t="shared" si="9"/>
        <v>4313.8500000000022</v>
      </c>
      <c r="L55" s="337">
        <f t="shared" si="9"/>
        <v>58.24</v>
      </c>
      <c r="M55" s="337">
        <f t="shared" si="9"/>
        <v>116.48</v>
      </c>
      <c r="N55" s="337">
        <f t="shared" si="9"/>
        <v>1851.5420000000008</v>
      </c>
      <c r="O55" s="337">
        <f t="shared" si="9"/>
        <v>5750.0319999999983</v>
      </c>
      <c r="P55" s="337">
        <f t="shared" si="9"/>
        <v>61892</v>
      </c>
      <c r="Q55" s="337">
        <f t="shared" si="9"/>
        <v>2316.6927891724608</v>
      </c>
      <c r="R55" s="338">
        <f t="shared" si="9"/>
        <v>9</v>
      </c>
      <c r="S55" s="338">
        <f t="shared" si="9"/>
        <v>33</v>
      </c>
    </row>
    <row r="56" spans="1:42" ht="30" customHeight="1" x14ac:dyDescent="0.45">
      <c r="A56" s="285"/>
      <c r="B56" s="344"/>
      <c r="C56" s="344"/>
      <c r="D56" s="344"/>
      <c r="E56" s="344"/>
      <c r="F56" s="344"/>
      <c r="G56" s="288"/>
      <c r="H56" s="289"/>
      <c r="I56" s="286"/>
      <c r="J56" s="286"/>
      <c r="K56" s="286"/>
      <c r="L56" s="286"/>
      <c r="M56" s="286"/>
      <c r="N56" s="287"/>
      <c r="O56" s="287"/>
      <c r="P56" s="287"/>
      <c r="Q56" s="315"/>
      <c r="R56" s="314"/>
      <c r="S56" s="314"/>
    </row>
    <row r="57" spans="1:42" ht="30" customHeight="1" x14ac:dyDescent="0.35">
      <c r="A57" s="328">
        <v>51</v>
      </c>
      <c r="B57" s="322" t="s">
        <v>274</v>
      </c>
      <c r="C57" s="322" t="s">
        <v>217</v>
      </c>
      <c r="D57" s="322" t="s">
        <v>275</v>
      </c>
      <c r="E57" s="322" t="s">
        <v>34</v>
      </c>
      <c r="F57" s="322" t="s">
        <v>219</v>
      </c>
      <c r="G57" s="343">
        <v>61.09</v>
      </c>
      <c r="H57" s="343">
        <f>2.43-U1</f>
        <v>2.4075000000000002</v>
      </c>
      <c r="I57" s="343">
        <f>62.28-U1</f>
        <v>62.2575</v>
      </c>
      <c r="J57" s="343">
        <f t="shared" ref="J57:J120" si="10">ROUND(I57*10.7639,0)</f>
        <v>670</v>
      </c>
      <c r="K57" s="343">
        <f>72.17-U1</f>
        <v>72.147500000000008</v>
      </c>
      <c r="L57" s="324">
        <f>M57/2</f>
        <v>0</v>
      </c>
      <c r="M57" s="343">
        <v>0</v>
      </c>
      <c r="N57" s="343">
        <f t="shared" ref="N57:N88" si="11">O57-G57-H57-L57</f>
        <v>31.133899999999997</v>
      </c>
      <c r="O57" s="324">
        <f>I57*$T$1+L57</f>
        <v>94.631399999999999</v>
      </c>
      <c r="P57" s="324">
        <f t="shared" ref="P57:P120" si="12">ROUND(O57*10.7639,0)</f>
        <v>1019</v>
      </c>
      <c r="Q57" s="324">
        <f t="shared" ref="Q57:Q88" si="13">O57/$O$150*$H$153</f>
        <v>38.127071642261264</v>
      </c>
      <c r="R57" s="352">
        <v>1</v>
      </c>
      <c r="S57" s="352" t="s">
        <v>93</v>
      </c>
    </row>
    <row r="58" spans="1:42" ht="30" customHeight="1" x14ac:dyDescent="0.35">
      <c r="A58" s="328">
        <v>52</v>
      </c>
      <c r="B58" s="322" t="s">
        <v>274</v>
      </c>
      <c r="C58" s="322" t="s">
        <v>217</v>
      </c>
      <c r="D58" s="322" t="s">
        <v>276</v>
      </c>
      <c r="E58" s="322" t="s">
        <v>34</v>
      </c>
      <c r="F58" s="322" t="s">
        <v>219</v>
      </c>
      <c r="G58" s="343">
        <v>61.09</v>
      </c>
      <c r="H58" s="343">
        <f>2.43-U1</f>
        <v>2.4075000000000002</v>
      </c>
      <c r="I58" s="343">
        <f>62.28-U1</f>
        <v>62.2575</v>
      </c>
      <c r="J58" s="343">
        <f t="shared" si="10"/>
        <v>670</v>
      </c>
      <c r="K58" s="343">
        <f>72.17-U1</f>
        <v>72.147500000000008</v>
      </c>
      <c r="L58" s="324">
        <f t="shared" ref="L58:L121" si="14">M58/2</f>
        <v>0</v>
      </c>
      <c r="M58" s="343">
        <v>0</v>
      </c>
      <c r="N58" s="343">
        <f t="shared" si="11"/>
        <v>31.133899999999997</v>
      </c>
      <c r="O58" s="324">
        <f t="shared" ref="O58:O121" si="15">I58*$T$1+L58</f>
        <v>94.631399999999999</v>
      </c>
      <c r="P58" s="324">
        <f t="shared" si="12"/>
        <v>1019</v>
      </c>
      <c r="Q58" s="324">
        <f t="shared" si="13"/>
        <v>38.127071642261264</v>
      </c>
      <c r="R58" s="352">
        <v>1</v>
      </c>
      <c r="S58" s="352" t="s">
        <v>93</v>
      </c>
    </row>
    <row r="59" spans="1:42" ht="30" customHeight="1" x14ac:dyDescent="0.35">
      <c r="A59" s="328">
        <v>53</v>
      </c>
      <c r="B59" s="322" t="s">
        <v>274</v>
      </c>
      <c r="C59" s="322" t="s">
        <v>217</v>
      </c>
      <c r="D59" s="322" t="s">
        <v>277</v>
      </c>
      <c r="E59" s="322" t="s">
        <v>36</v>
      </c>
      <c r="F59" s="322" t="s">
        <v>148</v>
      </c>
      <c r="G59" s="343">
        <v>79.760000000000005</v>
      </c>
      <c r="H59" s="343">
        <f>3.99-U1</f>
        <v>3.9675000000000002</v>
      </c>
      <c r="I59" s="343">
        <f>81.45-U1</f>
        <v>81.427500000000009</v>
      </c>
      <c r="J59" s="343">
        <f t="shared" si="10"/>
        <v>876</v>
      </c>
      <c r="K59" s="343">
        <f>94.5-U1</f>
        <v>94.477500000000006</v>
      </c>
      <c r="L59" s="324">
        <f t="shared" si="14"/>
        <v>0</v>
      </c>
      <c r="M59" s="343">
        <v>0</v>
      </c>
      <c r="N59" s="343">
        <f t="shared" si="11"/>
        <v>40.042300000000012</v>
      </c>
      <c r="O59" s="324">
        <f t="shared" si="15"/>
        <v>123.76980000000002</v>
      </c>
      <c r="P59" s="324">
        <f t="shared" si="12"/>
        <v>1332</v>
      </c>
      <c r="Q59" s="324">
        <f t="shared" si="13"/>
        <v>49.866957814724799</v>
      </c>
      <c r="R59" s="352" t="s">
        <v>93</v>
      </c>
      <c r="S59" s="352">
        <v>1</v>
      </c>
      <c r="T59" s="352">
        <v>1</v>
      </c>
      <c r="U59" s="352">
        <v>1</v>
      </c>
    </row>
    <row r="60" spans="1:42" ht="30" customHeight="1" x14ac:dyDescent="0.35">
      <c r="A60" s="328">
        <v>54</v>
      </c>
      <c r="B60" s="322" t="s">
        <v>274</v>
      </c>
      <c r="C60" s="322" t="s">
        <v>217</v>
      </c>
      <c r="D60" s="322" t="s">
        <v>278</v>
      </c>
      <c r="E60" s="322" t="s">
        <v>36</v>
      </c>
      <c r="F60" s="322" t="s">
        <v>148</v>
      </c>
      <c r="G60" s="343">
        <v>79.77</v>
      </c>
      <c r="H60" s="343">
        <f>3.99-U1</f>
        <v>3.9675000000000002</v>
      </c>
      <c r="I60" s="343">
        <f>81.38-U1</f>
        <v>81.357500000000002</v>
      </c>
      <c r="J60" s="343">
        <f t="shared" si="10"/>
        <v>876</v>
      </c>
      <c r="K60" s="343">
        <f>94.51-U1</f>
        <v>94.487500000000011</v>
      </c>
      <c r="L60" s="324">
        <f t="shared" si="14"/>
        <v>0</v>
      </c>
      <c r="M60" s="343">
        <v>0</v>
      </c>
      <c r="N60" s="343">
        <f t="shared" si="11"/>
        <v>39.925900000000013</v>
      </c>
      <c r="O60" s="324">
        <f t="shared" si="15"/>
        <v>123.66340000000001</v>
      </c>
      <c r="P60" s="324">
        <f t="shared" si="12"/>
        <v>1331</v>
      </c>
      <c r="Q60" s="324">
        <f t="shared" si="13"/>
        <v>49.824089164121119</v>
      </c>
      <c r="R60" s="352" t="s">
        <v>93</v>
      </c>
      <c r="S60" s="352">
        <v>1</v>
      </c>
    </row>
    <row r="61" spans="1:42" ht="30" customHeight="1" x14ac:dyDescent="0.35">
      <c r="A61" s="328">
        <v>55</v>
      </c>
      <c r="B61" s="322" t="s">
        <v>274</v>
      </c>
      <c r="C61" s="322" t="s">
        <v>217</v>
      </c>
      <c r="D61" s="322" t="s">
        <v>279</v>
      </c>
      <c r="E61" s="322" t="s">
        <v>34</v>
      </c>
      <c r="F61" s="322" t="s">
        <v>219</v>
      </c>
      <c r="G61" s="343">
        <v>58.38</v>
      </c>
      <c r="H61" s="343">
        <f>2.43-U1</f>
        <v>2.4075000000000002</v>
      </c>
      <c r="I61" s="343">
        <f>59.59-U1</f>
        <v>59.567500000000003</v>
      </c>
      <c r="J61" s="343">
        <f t="shared" si="10"/>
        <v>641</v>
      </c>
      <c r="K61" s="343">
        <f>68.92-U1</f>
        <v>68.897500000000008</v>
      </c>
      <c r="L61" s="324">
        <f t="shared" si="14"/>
        <v>0</v>
      </c>
      <c r="M61" s="343">
        <v>0</v>
      </c>
      <c r="N61" s="343">
        <f t="shared" si="11"/>
        <v>29.755100000000006</v>
      </c>
      <c r="O61" s="324">
        <f t="shared" si="15"/>
        <v>90.542600000000007</v>
      </c>
      <c r="P61" s="324">
        <f t="shared" si="12"/>
        <v>975</v>
      </c>
      <c r="Q61" s="324">
        <f t="shared" si="13"/>
        <v>36.479690640491469</v>
      </c>
      <c r="R61" s="352">
        <v>1</v>
      </c>
      <c r="S61" s="352" t="s">
        <v>93</v>
      </c>
    </row>
    <row r="62" spans="1:42" ht="30" customHeight="1" x14ac:dyDescent="0.35">
      <c r="A62" s="328">
        <v>56</v>
      </c>
      <c r="B62" s="322" t="s">
        <v>274</v>
      </c>
      <c r="C62" s="322" t="s">
        <v>217</v>
      </c>
      <c r="D62" s="322" t="s">
        <v>280</v>
      </c>
      <c r="E62" s="322" t="s">
        <v>105</v>
      </c>
      <c r="F62" s="322" t="s">
        <v>148</v>
      </c>
      <c r="G62" s="343">
        <v>80.02</v>
      </c>
      <c r="H62" s="343">
        <f>3.87-U1</f>
        <v>3.8475000000000001</v>
      </c>
      <c r="I62" s="343">
        <f>81.76-U1</f>
        <v>81.737500000000011</v>
      </c>
      <c r="J62" s="343">
        <f t="shared" si="10"/>
        <v>880</v>
      </c>
      <c r="K62" s="343">
        <f>94.47-U1</f>
        <v>94.447500000000005</v>
      </c>
      <c r="L62" s="324">
        <f t="shared" si="14"/>
        <v>13.79</v>
      </c>
      <c r="M62" s="343">
        <v>27.58</v>
      </c>
      <c r="N62" s="343">
        <f t="shared" si="11"/>
        <v>40.373500000000014</v>
      </c>
      <c r="O62" s="324">
        <f t="shared" si="15"/>
        <v>138.03100000000001</v>
      </c>
      <c r="P62" s="324">
        <f t="shared" si="12"/>
        <v>1486</v>
      </c>
      <c r="Q62" s="324">
        <f t="shared" si="13"/>
        <v>55.612807438682765</v>
      </c>
      <c r="R62" s="352" t="s">
        <v>93</v>
      </c>
      <c r="S62" s="352">
        <v>1</v>
      </c>
    </row>
    <row r="63" spans="1:42" ht="30" customHeight="1" x14ac:dyDescent="0.35">
      <c r="A63" s="328">
        <v>57</v>
      </c>
      <c r="B63" s="322" t="s">
        <v>274</v>
      </c>
      <c r="C63" s="322" t="s">
        <v>217</v>
      </c>
      <c r="D63" s="322" t="s">
        <v>281</v>
      </c>
      <c r="E63" s="322" t="s">
        <v>36</v>
      </c>
      <c r="F63" s="322" t="s">
        <v>223</v>
      </c>
      <c r="G63" s="343">
        <v>93.57</v>
      </c>
      <c r="H63" s="343">
        <f>6.81-(U1*2)</f>
        <v>6.7649999999999997</v>
      </c>
      <c r="I63" s="343">
        <f>97.04-(U1*2)</f>
        <v>96.995000000000005</v>
      </c>
      <c r="J63" s="343">
        <f t="shared" si="10"/>
        <v>1044</v>
      </c>
      <c r="K63" s="343">
        <f>111.57-(U1*2)</f>
        <v>111.52499999999999</v>
      </c>
      <c r="L63" s="324">
        <f t="shared" si="14"/>
        <v>4.0650000000000004</v>
      </c>
      <c r="M63" s="343">
        <v>8.1300000000000008</v>
      </c>
      <c r="N63" s="343">
        <f t="shared" si="11"/>
        <v>47.097400000000007</v>
      </c>
      <c r="O63" s="324">
        <f t="shared" si="15"/>
        <v>151.4974</v>
      </c>
      <c r="P63" s="324">
        <f t="shared" si="12"/>
        <v>1631</v>
      </c>
      <c r="Q63" s="324">
        <f t="shared" si="13"/>
        <v>61.038431465838094</v>
      </c>
      <c r="R63" s="352" t="s">
        <v>93</v>
      </c>
      <c r="S63" s="352">
        <v>1</v>
      </c>
    </row>
    <row r="64" spans="1:42" ht="30" customHeight="1" x14ac:dyDescent="0.35">
      <c r="A64" s="328">
        <v>58</v>
      </c>
      <c r="B64" s="322" t="s">
        <v>274</v>
      </c>
      <c r="C64" s="322" t="s">
        <v>217</v>
      </c>
      <c r="D64" s="322" t="s">
        <v>282</v>
      </c>
      <c r="E64" s="322" t="s">
        <v>36</v>
      </c>
      <c r="F64" s="322" t="s">
        <v>223</v>
      </c>
      <c r="G64" s="343">
        <v>93.57</v>
      </c>
      <c r="H64" s="343">
        <f>6.81-(U1*2)</f>
        <v>6.7649999999999997</v>
      </c>
      <c r="I64" s="343">
        <f>97.04-(U1*2)</f>
        <v>96.995000000000005</v>
      </c>
      <c r="J64" s="343">
        <f t="shared" si="10"/>
        <v>1044</v>
      </c>
      <c r="K64" s="343">
        <f>111.51-(U1*2)</f>
        <v>111.465</v>
      </c>
      <c r="L64" s="324">
        <f t="shared" si="14"/>
        <v>0</v>
      </c>
      <c r="M64" s="343">
        <v>0</v>
      </c>
      <c r="N64" s="343">
        <f t="shared" si="11"/>
        <v>47.097400000000007</v>
      </c>
      <c r="O64" s="324">
        <f t="shared" si="15"/>
        <v>147.4324</v>
      </c>
      <c r="P64" s="324">
        <f t="shared" si="12"/>
        <v>1587</v>
      </c>
      <c r="Q64" s="324">
        <f t="shared" si="13"/>
        <v>59.400639504334919</v>
      </c>
      <c r="R64" s="352" t="s">
        <v>93</v>
      </c>
      <c r="S64" s="352">
        <v>1</v>
      </c>
    </row>
    <row r="65" spans="1:44" ht="30" customHeight="1" x14ac:dyDescent="0.35">
      <c r="A65" s="328">
        <v>59</v>
      </c>
      <c r="B65" s="322" t="s">
        <v>274</v>
      </c>
      <c r="C65" s="322" t="s">
        <v>217</v>
      </c>
      <c r="D65" s="322" t="s">
        <v>283</v>
      </c>
      <c r="E65" s="322" t="s">
        <v>36</v>
      </c>
      <c r="F65" s="322" t="s">
        <v>223</v>
      </c>
      <c r="G65" s="343">
        <v>93.57</v>
      </c>
      <c r="H65" s="343">
        <f>6.81-(U1*2)</f>
        <v>6.7649999999999997</v>
      </c>
      <c r="I65" s="343">
        <f>97.04-(U1*2)</f>
        <v>96.995000000000005</v>
      </c>
      <c r="J65" s="343">
        <f t="shared" si="10"/>
        <v>1044</v>
      </c>
      <c r="K65" s="343">
        <f>111.51-(U1*2)</f>
        <v>111.465</v>
      </c>
      <c r="L65" s="324">
        <f t="shared" si="14"/>
        <v>0</v>
      </c>
      <c r="M65" s="343">
        <v>0</v>
      </c>
      <c r="N65" s="343">
        <f t="shared" si="11"/>
        <v>47.097400000000007</v>
      </c>
      <c r="O65" s="324">
        <f t="shared" si="15"/>
        <v>147.4324</v>
      </c>
      <c r="P65" s="324">
        <f t="shared" si="12"/>
        <v>1587</v>
      </c>
      <c r="Q65" s="324">
        <f t="shared" si="13"/>
        <v>59.400639504334919</v>
      </c>
      <c r="R65" s="352" t="s">
        <v>93</v>
      </c>
      <c r="S65" s="352">
        <v>1</v>
      </c>
    </row>
    <row r="66" spans="1:44" ht="30" customHeight="1" x14ac:dyDescent="0.35">
      <c r="A66" s="328">
        <v>60</v>
      </c>
      <c r="B66" s="322" t="s">
        <v>274</v>
      </c>
      <c r="C66" s="322" t="s">
        <v>217</v>
      </c>
      <c r="D66" s="322" t="s">
        <v>284</v>
      </c>
      <c r="E66" s="322" t="s">
        <v>34</v>
      </c>
      <c r="F66" s="322" t="s">
        <v>219</v>
      </c>
      <c r="G66" s="343">
        <v>58.38</v>
      </c>
      <c r="H66" s="343">
        <f>2.43-U1</f>
        <v>2.4075000000000002</v>
      </c>
      <c r="I66" s="343">
        <f>59.66-U1</f>
        <v>59.637499999999996</v>
      </c>
      <c r="J66" s="343">
        <f t="shared" si="10"/>
        <v>642</v>
      </c>
      <c r="K66" s="343">
        <f>68.91-U1</f>
        <v>68.887500000000003</v>
      </c>
      <c r="L66" s="324">
        <f t="shared" si="14"/>
        <v>0</v>
      </c>
      <c r="M66" s="343">
        <v>0</v>
      </c>
      <c r="N66" s="343">
        <f t="shared" si="11"/>
        <v>29.861499999999999</v>
      </c>
      <c r="O66" s="324">
        <f t="shared" si="15"/>
        <v>90.649000000000001</v>
      </c>
      <c r="P66" s="324">
        <f t="shared" si="12"/>
        <v>976</v>
      </c>
      <c r="Q66" s="324">
        <f t="shared" si="13"/>
        <v>36.522559291095142</v>
      </c>
      <c r="R66" s="393">
        <v>1</v>
      </c>
      <c r="S66" s="352" t="s">
        <v>93</v>
      </c>
    </row>
    <row r="67" spans="1:44" ht="30" customHeight="1" x14ac:dyDescent="0.35">
      <c r="A67" s="328">
        <v>61</v>
      </c>
      <c r="B67" s="322" t="s">
        <v>274</v>
      </c>
      <c r="C67" s="322" t="s">
        <v>217</v>
      </c>
      <c r="D67" s="322" t="s">
        <v>285</v>
      </c>
      <c r="E67" s="322" t="s">
        <v>34</v>
      </c>
      <c r="F67" s="322" t="s">
        <v>219</v>
      </c>
      <c r="G67" s="343">
        <v>58.38</v>
      </c>
      <c r="H67" s="343">
        <f>2.43-U1</f>
        <v>2.4075000000000002</v>
      </c>
      <c r="I67" s="343">
        <f>59.66-U1</f>
        <v>59.637499999999996</v>
      </c>
      <c r="J67" s="343">
        <f t="shared" si="10"/>
        <v>642</v>
      </c>
      <c r="K67" s="343">
        <f>69.03-U1</f>
        <v>69.007500000000007</v>
      </c>
      <c r="L67" s="324">
        <f t="shared" si="14"/>
        <v>7.26</v>
      </c>
      <c r="M67" s="343">
        <v>14.52</v>
      </c>
      <c r="N67" s="343">
        <f t="shared" si="11"/>
        <v>29.861500000000007</v>
      </c>
      <c r="O67" s="324">
        <f t="shared" si="15"/>
        <v>97.909000000000006</v>
      </c>
      <c r="P67" s="324">
        <f t="shared" si="12"/>
        <v>1054</v>
      </c>
      <c r="Q67" s="324">
        <f t="shared" si="13"/>
        <v>39.447619473263188</v>
      </c>
      <c r="R67" s="394"/>
      <c r="S67" s="352" t="s">
        <v>93</v>
      </c>
    </row>
    <row r="68" spans="1:44" ht="30" customHeight="1" x14ac:dyDescent="0.35">
      <c r="A68" s="328">
        <v>62</v>
      </c>
      <c r="B68" s="322" t="s">
        <v>274</v>
      </c>
      <c r="C68" s="322" t="s">
        <v>217</v>
      </c>
      <c r="D68" s="322" t="s">
        <v>286</v>
      </c>
      <c r="E68" s="322" t="s">
        <v>34</v>
      </c>
      <c r="F68" s="322" t="s">
        <v>148</v>
      </c>
      <c r="G68" s="343">
        <v>79.81</v>
      </c>
      <c r="H68" s="343">
        <f>4-U1</f>
        <v>3.9775</v>
      </c>
      <c r="I68" s="343">
        <f>81.73-U1</f>
        <v>81.70750000000001</v>
      </c>
      <c r="J68" s="343">
        <f t="shared" si="10"/>
        <v>879</v>
      </c>
      <c r="K68" s="343">
        <f>94.27-U1</f>
        <v>94.247500000000002</v>
      </c>
      <c r="L68" s="324">
        <f t="shared" si="14"/>
        <v>0</v>
      </c>
      <c r="M68" s="343">
        <v>0</v>
      </c>
      <c r="N68" s="343">
        <f t="shared" si="11"/>
        <v>40.407900000000019</v>
      </c>
      <c r="O68" s="324">
        <f t="shared" si="15"/>
        <v>124.19540000000002</v>
      </c>
      <c r="P68" s="324">
        <f t="shared" si="12"/>
        <v>1337</v>
      </c>
      <c r="Q68" s="324">
        <f t="shared" si="13"/>
        <v>50.038432417139504</v>
      </c>
      <c r="R68" s="352" t="s">
        <v>93</v>
      </c>
      <c r="S68" s="352">
        <v>1</v>
      </c>
    </row>
    <row r="69" spans="1:44" ht="30" customHeight="1" x14ac:dyDescent="0.35">
      <c r="A69" s="328">
        <v>63</v>
      </c>
      <c r="B69" s="322" t="s">
        <v>274</v>
      </c>
      <c r="C69" s="322" t="s">
        <v>217</v>
      </c>
      <c r="D69" s="322" t="s">
        <v>287</v>
      </c>
      <c r="E69" s="322" t="s">
        <v>34</v>
      </c>
      <c r="F69" s="322" t="s">
        <v>148</v>
      </c>
      <c r="G69" s="343">
        <v>79.64</v>
      </c>
      <c r="H69" s="343">
        <f>4-U1</f>
        <v>3.9775</v>
      </c>
      <c r="I69" s="343">
        <f>81.44-U1</f>
        <v>81.417500000000004</v>
      </c>
      <c r="J69" s="343">
        <f t="shared" si="10"/>
        <v>876</v>
      </c>
      <c r="K69" s="343">
        <f>94.13-U1</f>
        <v>94.107500000000002</v>
      </c>
      <c r="L69" s="324">
        <f t="shared" si="14"/>
        <v>0</v>
      </c>
      <c r="M69" s="343">
        <v>0</v>
      </c>
      <c r="N69" s="343">
        <f t="shared" si="11"/>
        <v>40.137100000000011</v>
      </c>
      <c r="O69" s="324">
        <f t="shared" si="15"/>
        <v>123.75460000000001</v>
      </c>
      <c r="P69" s="324">
        <f t="shared" si="12"/>
        <v>1332</v>
      </c>
      <c r="Q69" s="324">
        <f t="shared" si="13"/>
        <v>49.860833721781418</v>
      </c>
      <c r="R69" s="352" t="s">
        <v>93</v>
      </c>
      <c r="S69" s="352">
        <v>1</v>
      </c>
    </row>
    <row r="70" spans="1:44" s="316" customFormat="1" ht="30" customHeight="1" x14ac:dyDescent="0.35">
      <c r="A70" s="328">
        <v>64</v>
      </c>
      <c r="B70" s="322" t="s">
        <v>274</v>
      </c>
      <c r="C70" s="322" t="s">
        <v>217</v>
      </c>
      <c r="D70" s="322" t="s">
        <v>288</v>
      </c>
      <c r="E70" s="322" t="s">
        <v>36</v>
      </c>
      <c r="F70" s="322" t="s">
        <v>223</v>
      </c>
      <c r="G70" s="343">
        <v>93.57</v>
      </c>
      <c r="H70" s="343">
        <f>6.81-(U1*2)</f>
        <v>6.7649999999999997</v>
      </c>
      <c r="I70" s="343">
        <f>97.09-(U1*2)</f>
        <v>97.045000000000002</v>
      </c>
      <c r="J70" s="343">
        <f t="shared" si="10"/>
        <v>1045</v>
      </c>
      <c r="K70" s="343">
        <f>111.57-(U1*2)</f>
        <v>111.52499999999999</v>
      </c>
      <c r="L70" s="324">
        <f t="shared" si="14"/>
        <v>0</v>
      </c>
      <c r="M70" s="343">
        <v>0</v>
      </c>
      <c r="N70" s="343">
        <f t="shared" si="11"/>
        <v>47.173400000000001</v>
      </c>
      <c r="O70" s="324">
        <f t="shared" si="15"/>
        <v>147.50839999999999</v>
      </c>
      <c r="P70" s="324">
        <f t="shared" si="12"/>
        <v>1588</v>
      </c>
      <c r="Q70" s="324">
        <f t="shared" si="13"/>
        <v>59.431259969051823</v>
      </c>
      <c r="R70" s="352" t="s">
        <v>93</v>
      </c>
      <c r="S70" s="352">
        <v>1</v>
      </c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</row>
    <row r="71" spans="1:44" ht="30" customHeight="1" x14ac:dyDescent="0.35">
      <c r="A71" s="328">
        <v>65</v>
      </c>
      <c r="B71" s="322" t="s">
        <v>274</v>
      </c>
      <c r="C71" s="322" t="s">
        <v>217</v>
      </c>
      <c r="D71" s="322" t="s">
        <v>289</v>
      </c>
      <c r="E71" s="322" t="s">
        <v>105</v>
      </c>
      <c r="F71" s="322" t="s">
        <v>223</v>
      </c>
      <c r="G71" s="343">
        <v>94.76</v>
      </c>
      <c r="H71" s="343">
        <f>9.93-(U1*2)</f>
        <v>9.8849999999999998</v>
      </c>
      <c r="I71" s="343">
        <f>101.66-(U1*2)</f>
        <v>101.61499999999999</v>
      </c>
      <c r="J71" s="343">
        <f t="shared" si="10"/>
        <v>1094</v>
      </c>
      <c r="K71" s="343">
        <f>115.74-(U1*2)</f>
        <v>115.69499999999999</v>
      </c>
      <c r="L71" s="324">
        <f t="shared" si="14"/>
        <v>28.975000000000001</v>
      </c>
      <c r="M71" s="343">
        <v>57.95</v>
      </c>
      <c r="N71" s="343">
        <f t="shared" si="11"/>
        <v>49.809799999999989</v>
      </c>
      <c r="O71" s="324">
        <f t="shared" si="15"/>
        <v>183.4298</v>
      </c>
      <c r="P71" s="324">
        <f t="shared" si="12"/>
        <v>1974</v>
      </c>
      <c r="Q71" s="324">
        <f t="shared" si="13"/>
        <v>73.904022617499635</v>
      </c>
      <c r="R71" s="352" t="s">
        <v>93</v>
      </c>
      <c r="S71" s="352">
        <v>1</v>
      </c>
    </row>
    <row r="72" spans="1:44" ht="30" customHeight="1" x14ac:dyDescent="0.35">
      <c r="A72" s="328">
        <v>66</v>
      </c>
      <c r="B72" s="322" t="s">
        <v>274</v>
      </c>
      <c r="C72" s="322" t="s">
        <v>217</v>
      </c>
      <c r="D72" s="322" t="s">
        <v>290</v>
      </c>
      <c r="E72" s="322" t="s">
        <v>105</v>
      </c>
      <c r="F72" s="322" t="s">
        <v>148</v>
      </c>
      <c r="G72" s="343">
        <v>80</v>
      </c>
      <c r="H72" s="343">
        <f>3.99-U1</f>
        <v>3.9675000000000002</v>
      </c>
      <c r="I72" s="343">
        <f>81.86-U1</f>
        <v>81.837500000000006</v>
      </c>
      <c r="J72" s="343">
        <f t="shared" si="10"/>
        <v>881</v>
      </c>
      <c r="K72" s="343">
        <f>94.6-U1</f>
        <v>94.577500000000001</v>
      </c>
      <c r="L72" s="324">
        <f t="shared" si="14"/>
        <v>0</v>
      </c>
      <c r="M72" s="343">
        <v>0</v>
      </c>
      <c r="N72" s="343">
        <f t="shared" si="11"/>
        <v>40.425500000000014</v>
      </c>
      <c r="O72" s="324">
        <f t="shared" si="15"/>
        <v>124.39300000000001</v>
      </c>
      <c r="P72" s="324">
        <f t="shared" si="12"/>
        <v>1339</v>
      </c>
      <c r="Q72" s="324">
        <f t="shared" si="13"/>
        <v>50.118045625403468</v>
      </c>
      <c r="R72" s="352" t="s">
        <v>93</v>
      </c>
      <c r="S72" s="352">
        <v>1</v>
      </c>
    </row>
    <row r="73" spans="1:44" ht="30" customHeight="1" x14ac:dyDescent="0.35">
      <c r="A73" s="328">
        <v>67</v>
      </c>
      <c r="B73" s="322" t="s">
        <v>274</v>
      </c>
      <c r="C73" s="322" t="s">
        <v>217</v>
      </c>
      <c r="D73" s="322" t="s">
        <v>291</v>
      </c>
      <c r="E73" s="322" t="s">
        <v>34</v>
      </c>
      <c r="F73" s="322" t="s">
        <v>148</v>
      </c>
      <c r="G73" s="343">
        <v>79.56</v>
      </c>
      <c r="H73" s="343">
        <f>4.12-U1</f>
        <v>4.0975000000000001</v>
      </c>
      <c r="I73" s="343">
        <f>81.44-U1</f>
        <v>81.417500000000004</v>
      </c>
      <c r="J73" s="343">
        <f t="shared" si="10"/>
        <v>876</v>
      </c>
      <c r="K73" s="343">
        <f>94.36-U1</f>
        <v>94.337500000000006</v>
      </c>
      <c r="L73" s="324">
        <f t="shared" si="14"/>
        <v>18.55</v>
      </c>
      <c r="M73" s="343">
        <v>37.1</v>
      </c>
      <c r="N73" s="343">
        <f t="shared" si="11"/>
        <v>40.097100000000026</v>
      </c>
      <c r="O73" s="324">
        <f t="shared" si="15"/>
        <v>142.30460000000002</v>
      </c>
      <c r="P73" s="324">
        <f t="shared" si="12"/>
        <v>1532</v>
      </c>
      <c r="Q73" s="324">
        <f t="shared" si="13"/>
        <v>57.334644517816841</v>
      </c>
      <c r="R73" s="352" t="s">
        <v>93</v>
      </c>
      <c r="S73" s="352">
        <v>1</v>
      </c>
    </row>
    <row r="74" spans="1:44" ht="30" customHeight="1" x14ac:dyDescent="0.35">
      <c r="A74" s="328">
        <v>68</v>
      </c>
      <c r="B74" s="322" t="s">
        <v>274</v>
      </c>
      <c r="C74" s="322" t="s">
        <v>230</v>
      </c>
      <c r="D74" s="322" t="s">
        <v>292</v>
      </c>
      <c r="E74" s="322" t="s">
        <v>34</v>
      </c>
      <c r="F74" s="322" t="s">
        <v>219</v>
      </c>
      <c r="G74" s="343">
        <f>G57</f>
        <v>61.09</v>
      </c>
      <c r="H74" s="343">
        <f>H57</f>
        <v>2.4075000000000002</v>
      </c>
      <c r="I74" s="343">
        <f>I57</f>
        <v>62.2575</v>
      </c>
      <c r="J74" s="343">
        <f t="shared" si="10"/>
        <v>670</v>
      </c>
      <c r="K74" s="343">
        <f>K57</f>
        <v>72.147500000000008</v>
      </c>
      <c r="L74" s="324">
        <f t="shared" si="14"/>
        <v>0</v>
      </c>
      <c r="M74" s="343">
        <v>0</v>
      </c>
      <c r="N74" s="343">
        <f t="shared" si="11"/>
        <v>31.133899999999997</v>
      </c>
      <c r="O74" s="324">
        <f t="shared" si="15"/>
        <v>94.631399999999999</v>
      </c>
      <c r="P74" s="324">
        <f t="shared" si="12"/>
        <v>1019</v>
      </c>
      <c r="Q74" s="324">
        <f t="shared" si="13"/>
        <v>38.127071642261264</v>
      </c>
      <c r="R74" s="352">
        <v>1</v>
      </c>
      <c r="S74" s="352" t="s">
        <v>93</v>
      </c>
    </row>
    <row r="75" spans="1:44" ht="30" customHeight="1" x14ac:dyDescent="0.35">
      <c r="A75" s="328">
        <v>69</v>
      </c>
      <c r="B75" s="322" t="s">
        <v>274</v>
      </c>
      <c r="C75" s="322" t="s">
        <v>230</v>
      </c>
      <c r="D75" s="322" t="s">
        <v>293</v>
      </c>
      <c r="E75" s="322" t="s">
        <v>34</v>
      </c>
      <c r="F75" s="322" t="s">
        <v>219</v>
      </c>
      <c r="G75" s="343">
        <f t="shared" ref="G75:H138" si="16">G58</f>
        <v>61.09</v>
      </c>
      <c r="H75" s="343">
        <f t="shared" si="16"/>
        <v>2.4075000000000002</v>
      </c>
      <c r="I75" s="343">
        <f t="shared" ref="I75:K138" si="17">I58</f>
        <v>62.2575</v>
      </c>
      <c r="J75" s="343">
        <f t="shared" si="10"/>
        <v>670</v>
      </c>
      <c r="K75" s="343">
        <f t="shared" si="17"/>
        <v>72.147500000000008</v>
      </c>
      <c r="L75" s="324">
        <f t="shared" si="14"/>
        <v>0</v>
      </c>
      <c r="M75" s="343">
        <v>0</v>
      </c>
      <c r="N75" s="343">
        <f t="shared" si="11"/>
        <v>31.133899999999997</v>
      </c>
      <c r="O75" s="324">
        <f t="shared" si="15"/>
        <v>94.631399999999999</v>
      </c>
      <c r="P75" s="324">
        <f t="shared" si="12"/>
        <v>1019</v>
      </c>
      <c r="Q75" s="324">
        <f t="shared" si="13"/>
        <v>38.127071642261264</v>
      </c>
      <c r="R75" s="352">
        <v>1</v>
      </c>
      <c r="S75" s="352" t="s">
        <v>93</v>
      </c>
    </row>
    <row r="76" spans="1:44" ht="30" customHeight="1" x14ac:dyDescent="0.35">
      <c r="A76" s="328">
        <v>70</v>
      </c>
      <c r="B76" s="322" t="s">
        <v>274</v>
      </c>
      <c r="C76" s="322" t="s">
        <v>230</v>
      </c>
      <c r="D76" s="322" t="s">
        <v>294</v>
      </c>
      <c r="E76" s="322" t="s">
        <v>36</v>
      </c>
      <c r="F76" s="322" t="s">
        <v>148</v>
      </c>
      <c r="G76" s="343">
        <f t="shared" si="16"/>
        <v>79.760000000000005</v>
      </c>
      <c r="H76" s="343">
        <f t="shared" si="16"/>
        <v>3.9675000000000002</v>
      </c>
      <c r="I76" s="343">
        <f t="shared" si="17"/>
        <v>81.427500000000009</v>
      </c>
      <c r="J76" s="343">
        <f t="shared" si="10"/>
        <v>876</v>
      </c>
      <c r="K76" s="343">
        <f t="shared" si="17"/>
        <v>94.477500000000006</v>
      </c>
      <c r="L76" s="324">
        <f t="shared" si="14"/>
        <v>0</v>
      </c>
      <c r="M76" s="343">
        <v>0</v>
      </c>
      <c r="N76" s="343">
        <f t="shared" si="11"/>
        <v>40.042300000000012</v>
      </c>
      <c r="O76" s="324">
        <f t="shared" si="15"/>
        <v>123.76980000000002</v>
      </c>
      <c r="P76" s="324">
        <f t="shared" si="12"/>
        <v>1332</v>
      </c>
      <c r="Q76" s="324">
        <f t="shared" si="13"/>
        <v>49.866957814724799</v>
      </c>
      <c r="R76" s="352" t="s">
        <v>93</v>
      </c>
      <c r="S76" s="352">
        <v>1</v>
      </c>
    </row>
    <row r="77" spans="1:44" ht="30" customHeight="1" x14ac:dyDescent="0.35">
      <c r="A77" s="328">
        <v>71</v>
      </c>
      <c r="B77" s="322" t="s">
        <v>274</v>
      </c>
      <c r="C77" s="322" t="s">
        <v>230</v>
      </c>
      <c r="D77" s="322" t="s">
        <v>295</v>
      </c>
      <c r="E77" s="322" t="s">
        <v>36</v>
      </c>
      <c r="F77" s="322" t="s">
        <v>148</v>
      </c>
      <c r="G77" s="343">
        <f t="shared" si="16"/>
        <v>79.77</v>
      </c>
      <c r="H77" s="343">
        <f t="shared" si="16"/>
        <v>3.9675000000000002</v>
      </c>
      <c r="I77" s="343">
        <f t="shared" si="17"/>
        <v>81.357500000000002</v>
      </c>
      <c r="J77" s="343">
        <f t="shared" si="10"/>
        <v>876</v>
      </c>
      <c r="K77" s="343">
        <f t="shared" si="17"/>
        <v>94.487500000000011</v>
      </c>
      <c r="L77" s="324">
        <f t="shared" si="14"/>
        <v>0</v>
      </c>
      <c r="M77" s="343">
        <v>0</v>
      </c>
      <c r="N77" s="343">
        <f t="shared" si="11"/>
        <v>39.925900000000013</v>
      </c>
      <c r="O77" s="324">
        <f t="shared" si="15"/>
        <v>123.66340000000001</v>
      </c>
      <c r="P77" s="324">
        <f t="shared" si="12"/>
        <v>1331</v>
      </c>
      <c r="Q77" s="324">
        <f t="shared" si="13"/>
        <v>49.824089164121119</v>
      </c>
      <c r="R77" s="352" t="s">
        <v>93</v>
      </c>
      <c r="S77" s="352">
        <v>1</v>
      </c>
    </row>
    <row r="78" spans="1:44" ht="30" customHeight="1" x14ac:dyDescent="0.35">
      <c r="A78" s="328">
        <v>72</v>
      </c>
      <c r="B78" s="322" t="s">
        <v>274</v>
      </c>
      <c r="C78" s="322" t="s">
        <v>230</v>
      </c>
      <c r="D78" s="322" t="s">
        <v>296</v>
      </c>
      <c r="E78" s="322" t="s">
        <v>34</v>
      </c>
      <c r="F78" s="322" t="s">
        <v>219</v>
      </c>
      <c r="G78" s="343">
        <f t="shared" si="16"/>
        <v>58.38</v>
      </c>
      <c r="H78" s="343">
        <f t="shared" si="16"/>
        <v>2.4075000000000002</v>
      </c>
      <c r="I78" s="343">
        <f t="shared" si="17"/>
        <v>59.567500000000003</v>
      </c>
      <c r="J78" s="343">
        <f t="shared" si="10"/>
        <v>641</v>
      </c>
      <c r="K78" s="343">
        <f t="shared" si="17"/>
        <v>68.897500000000008</v>
      </c>
      <c r="L78" s="324">
        <f t="shared" si="14"/>
        <v>0</v>
      </c>
      <c r="M78" s="343">
        <v>0</v>
      </c>
      <c r="N78" s="343">
        <f t="shared" si="11"/>
        <v>29.755100000000006</v>
      </c>
      <c r="O78" s="324">
        <f t="shared" si="15"/>
        <v>90.542600000000007</v>
      </c>
      <c r="P78" s="324">
        <f t="shared" si="12"/>
        <v>975</v>
      </c>
      <c r="Q78" s="324">
        <f t="shared" si="13"/>
        <v>36.479690640491469</v>
      </c>
      <c r="R78" s="352">
        <v>1</v>
      </c>
      <c r="S78" s="352" t="s">
        <v>93</v>
      </c>
    </row>
    <row r="79" spans="1:44" ht="30" customHeight="1" x14ac:dyDescent="0.35">
      <c r="A79" s="328">
        <v>73</v>
      </c>
      <c r="B79" s="322" t="s">
        <v>274</v>
      </c>
      <c r="C79" s="322" t="s">
        <v>230</v>
      </c>
      <c r="D79" s="322" t="s">
        <v>297</v>
      </c>
      <c r="E79" s="322" t="s">
        <v>105</v>
      </c>
      <c r="F79" s="322" t="s">
        <v>148</v>
      </c>
      <c r="G79" s="343">
        <f t="shared" si="16"/>
        <v>80.02</v>
      </c>
      <c r="H79" s="343">
        <f t="shared" si="16"/>
        <v>3.8475000000000001</v>
      </c>
      <c r="I79" s="343">
        <f t="shared" si="17"/>
        <v>81.737500000000011</v>
      </c>
      <c r="J79" s="343">
        <f t="shared" si="10"/>
        <v>880</v>
      </c>
      <c r="K79" s="343">
        <f t="shared" si="17"/>
        <v>94.447500000000005</v>
      </c>
      <c r="L79" s="324">
        <f t="shared" si="14"/>
        <v>0</v>
      </c>
      <c r="M79" s="343">
        <v>0</v>
      </c>
      <c r="N79" s="343">
        <f t="shared" si="11"/>
        <v>40.373500000000021</v>
      </c>
      <c r="O79" s="324">
        <f t="shared" si="15"/>
        <v>124.24100000000001</v>
      </c>
      <c r="P79" s="324">
        <f t="shared" si="12"/>
        <v>1337</v>
      </c>
      <c r="Q79" s="324">
        <f t="shared" si="13"/>
        <v>50.056804695969646</v>
      </c>
      <c r="R79" s="352" t="s">
        <v>93</v>
      </c>
      <c r="S79" s="352">
        <v>1</v>
      </c>
    </row>
    <row r="80" spans="1:44" ht="30" customHeight="1" x14ac:dyDescent="0.35">
      <c r="A80" s="328">
        <v>74</v>
      </c>
      <c r="B80" s="322" t="s">
        <v>274</v>
      </c>
      <c r="C80" s="322" t="s">
        <v>230</v>
      </c>
      <c r="D80" s="322" t="s">
        <v>298</v>
      </c>
      <c r="E80" s="322" t="s">
        <v>36</v>
      </c>
      <c r="F80" s="322" t="s">
        <v>223</v>
      </c>
      <c r="G80" s="343">
        <f t="shared" si="16"/>
        <v>93.57</v>
      </c>
      <c r="H80" s="343">
        <f t="shared" si="16"/>
        <v>6.7649999999999997</v>
      </c>
      <c r="I80" s="343">
        <f t="shared" si="17"/>
        <v>96.995000000000005</v>
      </c>
      <c r="J80" s="343">
        <f t="shared" si="10"/>
        <v>1044</v>
      </c>
      <c r="K80" s="343">
        <f t="shared" si="17"/>
        <v>111.52499999999999</v>
      </c>
      <c r="L80" s="324">
        <f t="shared" si="14"/>
        <v>0</v>
      </c>
      <c r="M80" s="343">
        <v>0</v>
      </c>
      <c r="N80" s="343">
        <f t="shared" si="11"/>
        <v>47.097400000000007</v>
      </c>
      <c r="O80" s="324">
        <f t="shared" si="15"/>
        <v>147.4324</v>
      </c>
      <c r="P80" s="324">
        <f t="shared" si="12"/>
        <v>1587</v>
      </c>
      <c r="Q80" s="324">
        <f t="shared" si="13"/>
        <v>59.400639504334919</v>
      </c>
      <c r="R80" s="352" t="s">
        <v>93</v>
      </c>
      <c r="S80" s="352">
        <v>1</v>
      </c>
    </row>
    <row r="81" spans="1:19" ht="30" customHeight="1" x14ac:dyDescent="0.35">
      <c r="A81" s="328">
        <v>75</v>
      </c>
      <c r="B81" s="322" t="s">
        <v>274</v>
      </c>
      <c r="C81" s="322" t="s">
        <v>230</v>
      </c>
      <c r="D81" s="322" t="s">
        <v>299</v>
      </c>
      <c r="E81" s="322" t="s">
        <v>36</v>
      </c>
      <c r="F81" s="322" t="s">
        <v>223</v>
      </c>
      <c r="G81" s="343">
        <f t="shared" si="16"/>
        <v>93.57</v>
      </c>
      <c r="H81" s="343">
        <f t="shared" si="16"/>
        <v>6.7649999999999997</v>
      </c>
      <c r="I81" s="343">
        <f t="shared" si="17"/>
        <v>96.995000000000005</v>
      </c>
      <c r="J81" s="343">
        <f t="shared" si="10"/>
        <v>1044</v>
      </c>
      <c r="K81" s="343">
        <f t="shared" si="17"/>
        <v>111.465</v>
      </c>
      <c r="L81" s="324">
        <f t="shared" si="14"/>
        <v>0</v>
      </c>
      <c r="M81" s="343">
        <v>0</v>
      </c>
      <c r="N81" s="343">
        <f t="shared" si="11"/>
        <v>47.097400000000007</v>
      </c>
      <c r="O81" s="324">
        <f t="shared" si="15"/>
        <v>147.4324</v>
      </c>
      <c r="P81" s="324">
        <f t="shared" si="12"/>
        <v>1587</v>
      </c>
      <c r="Q81" s="324">
        <f t="shared" si="13"/>
        <v>59.400639504334919</v>
      </c>
      <c r="R81" s="352" t="s">
        <v>93</v>
      </c>
      <c r="S81" s="352">
        <v>1</v>
      </c>
    </row>
    <row r="82" spans="1:19" ht="30" customHeight="1" x14ac:dyDescent="0.35">
      <c r="A82" s="328">
        <v>76</v>
      </c>
      <c r="B82" s="322" t="s">
        <v>274</v>
      </c>
      <c r="C82" s="322" t="s">
        <v>230</v>
      </c>
      <c r="D82" s="322" t="s">
        <v>300</v>
      </c>
      <c r="E82" s="322" t="s">
        <v>36</v>
      </c>
      <c r="F82" s="322" t="s">
        <v>223</v>
      </c>
      <c r="G82" s="343">
        <f t="shared" si="16"/>
        <v>93.57</v>
      </c>
      <c r="H82" s="343">
        <f t="shared" si="16"/>
        <v>6.7649999999999997</v>
      </c>
      <c r="I82" s="343">
        <f t="shared" si="17"/>
        <v>96.995000000000005</v>
      </c>
      <c r="J82" s="343">
        <f t="shared" si="10"/>
        <v>1044</v>
      </c>
      <c r="K82" s="343">
        <f t="shared" si="17"/>
        <v>111.465</v>
      </c>
      <c r="L82" s="324">
        <f t="shared" si="14"/>
        <v>0</v>
      </c>
      <c r="M82" s="343">
        <v>0</v>
      </c>
      <c r="N82" s="343">
        <f t="shared" si="11"/>
        <v>47.097400000000007</v>
      </c>
      <c r="O82" s="324">
        <f t="shared" si="15"/>
        <v>147.4324</v>
      </c>
      <c r="P82" s="324">
        <f t="shared" si="12"/>
        <v>1587</v>
      </c>
      <c r="Q82" s="324">
        <f t="shared" si="13"/>
        <v>59.400639504334919</v>
      </c>
      <c r="R82" s="352" t="s">
        <v>93</v>
      </c>
      <c r="S82" s="352">
        <v>1</v>
      </c>
    </row>
    <row r="83" spans="1:19" ht="30" customHeight="1" x14ac:dyDescent="0.35">
      <c r="A83" s="328">
        <v>77</v>
      </c>
      <c r="B83" s="322" t="s">
        <v>274</v>
      </c>
      <c r="C83" s="322" t="s">
        <v>230</v>
      </c>
      <c r="D83" s="322" t="s">
        <v>301</v>
      </c>
      <c r="E83" s="322" t="s">
        <v>34</v>
      </c>
      <c r="F83" s="322" t="s">
        <v>219</v>
      </c>
      <c r="G83" s="343">
        <f t="shared" si="16"/>
        <v>58.38</v>
      </c>
      <c r="H83" s="343">
        <f t="shared" si="16"/>
        <v>2.4075000000000002</v>
      </c>
      <c r="I83" s="343">
        <f t="shared" si="17"/>
        <v>59.637499999999996</v>
      </c>
      <c r="J83" s="343">
        <f t="shared" si="10"/>
        <v>642</v>
      </c>
      <c r="K83" s="343">
        <f t="shared" si="17"/>
        <v>68.887500000000003</v>
      </c>
      <c r="L83" s="324">
        <f t="shared" si="14"/>
        <v>0</v>
      </c>
      <c r="M83" s="343">
        <v>0</v>
      </c>
      <c r="N83" s="343">
        <f t="shared" si="11"/>
        <v>29.861499999999999</v>
      </c>
      <c r="O83" s="324">
        <f t="shared" si="15"/>
        <v>90.649000000000001</v>
      </c>
      <c r="P83" s="324">
        <f t="shared" si="12"/>
        <v>976</v>
      </c>
      <c r="Q83" s="324">
        <f t="shared" si="13"/>
        <v>36.522559291095142</v>
      </c>
      <c r="R83" s="393">
        <v>1</v>
      </c>
      <c r="S83" s="352" t="s">
        <v>93</v>
      </c>
    </row>
    <row r="84" spans="1:19" ht="30" customHeight="1" x14ac:dyDescent="0.35">
      <c r="A84" s="328">
        <v>78</v>
      </c>
      <c r="B84" s="322" t="s">
        <v>274</v>
      </c>
      <c r="C84" s="322" t="s">
        <v>230</v>
      </c>
      <c r="D84" s="322" t="s">
        <v>302</v>
      </c>
      <c r="E84" s="322" t="s">
        <v>34</v>
      </c>
      <c r="F84" s="322" t="s">
        <v>219</v>
      </c>
      <c r="G84" s="343">
        <f t="shared" si="16"/>
        <v>58.38</v>
      </c>
      <c r="H84" s="343">
        <f t="shared" si="16"/>
        <v>2.4075000000000002</v>
      </c>
      <c r="I84" s="343">
        <f t="shared" si="17"/>
        <v>59.637499999999996</v>
      </c>
      <c r="J84" s="343">
        <f t="shared" si="10"/>
        <v>642</v>
      </c>
      <c r="K84" s="343">
        <f t="shared" si="17"/>
        <v>69.007500000000007</v>
      </c>
      <c r="L84" s="324">
        <f t="shared" si="14"/>
        <v>0</v>
      </c>
      <c r="M84" s="343">
        <v>0</v>
      </c>
      <c r="N84" s="343">
        <f t="shared" si="11"/>
        <v>29.861499999999999</v>
      </c>
      <c r="O84" s="324">
        <f t="shared" si="15"/>
        <v>90.649000000000001</v>
      </c>
      <c r="P84" s="324">
        <f t="shared" si="12"/>
        <v>976</v>
      </c>
      <c r="Q84" s="324">
        <f t="shared" si="13"/>
        <v>36.522559291095142</v>
      </c>
      <c r="R84" s="394"/>
      <c r="S84" s="352" t="s">
        <v>93</v>
      </c>
    </row>
    <row r="85" spans="1:19" ht="30" customHeight="1" x14ac:dyDescent="0.35">
      <c r="A85" s="328">
        <v>79</v>
      </c>
      <c r="B85" s="322" t="s">
        <v>274</v>
      </c>
      <c r="C85" s="322" t="s">
        <v>230</v>
      </c>
      <c r="D85" s="322" t="s">
        <v>303</v>
      </c>
      <c r="E85" s="322" t="s">
        <v>34</v>
      </c>
      <c r="F85" s="322" t="s">
        <v>148</v>
      </c>
      <c r="G85" s="343">
        <f t="shared" si="16"/>
        <v>79.81</v>
      </c>
      <c r="H85" s="343">
        <f t="shared" si="16"/>
        <v>3.9775</v>
      </c>
      <c r="I85" s="343">
        <f t="shared" si="17"/>
        <v>81.70750000000001</v>
      </c>
      <c r="J85" s="343">
        <f t="shared" si="10"/>
        <v>879</v>
      </c>
      <c r="K85" s="343">
        <f t="shared" si="17"/>
        <v>94.247500000000002</v>
      </c>
      <c r="L85" s="324">
        <f t="shared" si="14"/>
        <v>0</v>
      </c>
      <c r="M85" s="343">
        <v>0</v>
      </c>
      <c r="N85" s="343">
        <f t="shared" si="11"/>
        <v>40.407900000000019</v>
      </c>
      <c r="O85" s="324">
        <f t="shared" si="15"/>
        <v>124.19540000000002</v>
      </c>
      <c r="P85" s="324">
        <f t="shared" si="12"/>
        <v>1337</v>
      </c>
      <c r="Q85" s="324">
        <f t="shared" si="13"/>
        <v>50.038432417139504</v>
      </c>
      <c r="R85" s="352" t="s">
        <v>93</v>
      </c>
      <c r="S85" s="352">
        <v>1</v>
      </c>
    </row>
    <row r="86" spans="1:19" ht="30" customHeight="1" x14ac:dyDescent="0.35">
      <c r="A86" s="328">
        <v>80</v>
      </c>
      <c r="B86" s="322" t="s">
        <v>274</v>
      </c>
      <c r="C86" s="322" t="s">
        <v>230</v>
      </c>
      <c r="D86" s="322" t="s">
        <v>304</v>
      </c>
      <c r="E86" s="322" t="s">
        <v>34</v>
      </c>
      <c r="F86" s="322" t="s">
        <v>148</v>
      </c>
      <c r="G86" s="343">
        <f t="shared" si="16"/>
        <v>79.64</v>
      </c>
      <c r="H86" s="343">
        <f t="shared" si="16"/>
        <v>3.9775</v>
      </c>
      <c r="I86" s="343">
        <f t="shared" si="17"/>
        <v>81.417500000000004</v>
      </c>
      <c r="J86" s="343">
        <f t="shared" si="10"/>
        <v>876</v>
      </c>
      <c r="K86" s="343">
        <f t="shared" si="17"/>
        <v>94.107500000000002</v>
      </c>
      <c r="L86" s="324">
        <f t="shared" si="14"/>
        <v>0</v>
      </c>
      <c r="M86" s="343">
        <v>0</v>
      </c>
      <c r="N86" s="343">
        <f t="shared" si="11"/>
        <v>40.137100000000011</v>
      </c>
      <c r="O86" s="324">
        <f t="shared" si="15"/>
        <v>123.75460000000001</v>
      </c>
      <c r="P86" s="324">
        <f t="shared" si="12"/>
        <v>1332</v>
      </c>
      <c r="Q86" s="324">
        <f t="shared" si="13"/>
        <v>49.860833721781418</v>
      </c>
      <c r="R86" s="352" t="s">
        <v>93</v>
      </c>
      <c r="S86" s="352">
        <v>1</v>
      </c>
    </row>
    <row r="87" spans="1:19" ht="30" customHeight="1" x14ac:dyDescent="0.35">
      <c r="A87" s="328">
        <v>81</v>
      </c>
      <c r="B87" s="322" t="s">
        <v>274</v>
      </c>
      <c r="C87" s="322" t="s">
        <v>230</v>
      </c>
      <c r="D87" s="322" t="s">
        <v>305</v>
      </c>
      <c r="E87" s="322" t="s">
        <v>36</v>
      </c>
      <c r="F87" s="322" t="s">
        <v>223</v>
      </c>
      <c r="G87" s="343">
        <f t="shared" si="16"/>
        <v>93.57</v>
      </c>
      <c r="H87" s="343">
        <f t="shared" si="16"/>
        <v>6.7649999999999997</v>
      </c>
      <c r="I87" s="343">
        <f t="shared" si="17"/>
        <v>97.045000000000002</v>
      </c>
      <c r="J87" s="343">
        <f t="shared" si="10"/>
        <v>1045</v>
      </c>
      <c r="K87" s="343">
        <f t="shared" si="17"/>
        <v>111.52499999999999</v>
      </c>
      <c r="L87" s="324">
        <f t="shared" si="14"/>
        <v>0</v>
      </c>
      <c r="M87" s="343">
        <v>0</v>
      </c>
      <c r="N87" s="343">
        <f t="shared" si="11"/>
        <v>47.173400000000001</v>
      </c>
      <c r="O87" s="324">
        <f t="shared" si="15"/>
        <v>147.50839999999999</v>
      </c>
      <c r="P87" s="324">
        <f t="shared" si="12"/>
        <v>1588</v>
      </c>
      <c r="Q87" s="324">
        <f t="shared" si="13"/>
        <v>59.431259969051823</v>
      </c>
      <c r="R87" s="352" t="s">
        <v>93</v>
      </c>
      <c r="S87" s="352">
        <v>1</v>
      </c>
    </row>
    <row r="88" spans="1:19" ht="30" customHeight="1" x14ac:dyDescent="0.35">
      <c r="A88" s="328">
        <v>82</v>
      </c>
      <c r="B88" s="322" t="s">
        <v>274</v>
      </c>
      <c r="C88" s="322" t="s">
        <v>230</v>
      </c>
      <c r="D88" s="322" t="s">
        <v>306</v>
      </c>
      <c r="E88" s="322" t="s">
        <v>105</v>
      </c>
      <c r="F88" s="322" t="s">
        <v>223</v>
      </c>
      <c r="G88" s="343">
        <f t="shared" si="16"/>
        <v>94.76</v>
      </c>
      <c r="H88" s="343">
        <f t="shared" si="16"/>
        <v>9.8849999999999998</v>
      </c>
      <c r="I88" s="343">
        <f t="shared" si="17"/>
        <v>101.61499999999999</v>
      </c>
      <c r="J88" s="343">
        <f t="shared" si="10"/>
        <v>1094</v>
      </c>
      <c r="K88" s="343">
        <f t="shared" si="17"/>
        <v>115.69499999999999</v>
      </c>
      <c r="L88" s="324">
        <f t="shared" si="14"/>
        <v>0</v>
      </c>
      <c r="M88" s="343">
        <v>0</v>
      </c>
      <c r="N88" s="343">
        <f t="shared" si="11"/>
        <v>49.809800000000003</v>
      </c>
      <c r="O88" s="324">
        <f t="shared" si="15"/>
        <v>154.45480000000001</v>
      </c>
      <c r="P88" s="324">
        <f t="shared" si="12"/>
        <v>1663</v>
      </c>
      <c r="Q88" s="324">
        <f t="shared" si="13"/>
        <v>62.229970444177461</v>
      </c>
      <c r="R88" s="352" t="s">
        <v>93</v>
      </c>
      <c r="S88" s="352">
        <v>1</v>
      </c>
    </row>
    <row r="89" spans="1:19" ht="30" customHeight="1" x14ac:dyDescent="0.35">
      <c r="A89" s="328">
        <v>83</v>
      </c>
      <c r="B89" s="322" t="s">
        <v>274</v>
      </c>
      <c r="C89" s="322" t="s">
        <v>230</v>
      </c>
      <c r="D89" s="322" t="s">
        <v>307</v>
      </c>
      <c r="E89" s="322" t="s">
        <v>105</v>
      </c>
      <c r="F89" s="322" t="s">
        <v>148</v>
      </c>
      <c r="G89" s="343">
        <f t="shared" si="16"/>
        <v>80</v>
      </c>
      <c r="H89" s="343">
        <f t="shared" si="16"/>
        <v>3.9675000000000002</v>
      </c>
      <c r="I89" s="343">
        <f t="shared" si="17"/>
        <v>81.837500000000006</v>
      </c>
      <c r="J89" s="343">
        <f t="shared" si="10"/>
        <v>881</v>
      </c>
      <c r="K89" s="343">
        <f t="shared" si="17"/>
        <v>94.577500000000001</v>
      </c>
      <c r="L89" s="324">
        <f t="shared" si="14"/>
        <v>0</v>
      </c>
      <c r="M89" s="343">
        <v>0</v>
      </c>
      <c r="N89" s="343">
        <f t="shared" ref="N89:N120" si="18">O89-G89-H89-L89</f>
        <v>40.425500000000014</v>
      </c>
      <c r="O89" s="324">
        <f t="shared" si="15"/>
        <v>124.39300000000001</v>
      </c>
      <c r="P89" s="324">
        <f t="shared" si="12"/>
        <v>1339</v>
      </c>
      <c r="Q89" s="324">
        <f t="shared" ref="Q89:Q120" si="19">O89/$O$150*$H$153</f>
        <v>50.118045625403468</v>
      </c>
      <c r="R89" s="352" t="s">
        <v>93</v>
      </c>
      <c r="S89" s="352">
        <v>1</v>
      </c>
    </row>
    <row r="90" spans="1:19" ht="30" customHeight="1" x14ac:dyDescent="0.35">
      <c r="A90" s="328">
        <v>84</v>
      </c>
      <c r="B90" s="322" t="s">
        <v>274</v>
      </c>
      <c r="C90" s="322" t="s">
        <v>230</v>
      </c>
      <c r="D90" s="322" t="s">
        <v>308</v>
      </c>
      <c r="E90" s="322" t="s">
        <v>34</v>
      </c>
      <c r="F90" s="322" t="s">
        <v>148</v>
      </c>
      <c r="G90" s="343">
        <f t="shared" si="16"/>
        <v>79.56</v>
      </c>
      <c r="H90" s="343">
        <f t="shared" si="16"/>
        <v>4.0975000000000001</v>
      </c>
      <c r="I90" s="343">
        <f t="shared" si="17"/>
        <v>81.417500000000004</v>
      </c>
      <c r="J90" s="343">
        <f t="shared" si="10"/>
        <v>876</v>
      </c>
      <c r="K90" s="343">
        <f t="shared" si="17"/>
        <v>94.337500000000006</v>
      </c>
      <c r="L90" s="324">
        <f t="shared" si="14"/>
        <v>0</v>
      </c>
      <c r="M90" s="343">
        <v>0</v>
      </c>
      <c r="N90" s="343">
        <f t="shared" si="18"/>
        <v>40.097100000000012</v>
      </c>
      <c r="O90" s="324">
        <f t="shared" si="15"/>
        <v>123.75460000000001</v>
      </c>
      <c r="P90" s="324">
        <f t="shared" si="12"/>
        <v>1332</v>
      </c>
      <c r="Q90" s="324">
        <f t="shared" si="19"/>
        <v>49.860833721781418</v>
      </c>
      <c r="R90" s="352" t="s">
        <v>93</v>
      </c>
      <c r="S90" s="352">
        <v>1</v>
      </c>
    </row>
    <row r="91" spans="1:19" ht="30" customHeight="1" x14ac:dyDescent="0.35">
      <c r="A91" s="328">
        <v>85</v>
      </c>
      <c r="B91" s="322" t="s">
        <v>274</v>
      </c>
      <c r="C91" s="322" t="s">
        <v>241</v>
      </c>
      <c r="D91" s="322" t="s">
        <v>309</v>
      </c>
      <c r="E91" s="322" t="s">
        <v>34</v>
      </c>
      <c r="F91" s="322" t="s">
        <v>219</v>
      </c>
      <c r="G91" s="343">
        <f t="shared" si="16"/>
        <v>61.09</v>
      </c>
      <c r="H91" s="343">
        <f t="shared" si="16"/>
        <v>2.4075000000000002</v>
      </c>
      <c r="I91" s="343">
        <f t="shared" si="17"/>
        <v>62.2575</v>
      </c>
      <c r="J91" s="343">
        <f t="shared" si="10"/>
        <v>670</v>
      </c>
      <c r="K91" s="343">
        <f t="shared" si="17"/>
        <v>72.147500000000008</v>
      </c>
      <c r="L91" s="324">
        <f t="shared" si="14"/>
        <v>0</v>
      </c>
      <c r="M91" s="343">
        <v>0</v>
      </c>
      <c r="N91" s="343">
        <f t="shared" si="18"/>
        <v>31.133899999999997</v>
      </c>
      <c r="O91" s="324">
        <f t="shared" si="15"/>
        <v>94.631399999999999</v>
      </c>
      <c r="P91" s="324">
        <f t="shared" si="12"/>
        <v>1019</v>
      </c>
      <c r="Q91" s="324">
        <f t="shared" si="19"/>
        <v>38.127071642261264</v>
      </c>
      <c r="R91" s="352">
        <v>1</v>
      </c>
      <c r="S91" s="352" t="s">
        <v>93</v>
      </c>
    </row>
    <row r="92" spans="1:19" ht="30" customHeight="1" x14ac:dyDescent="0.35">
      <c r="A92" s="328">
        <v>86</v>
      </c>
      <c r="B92" s="322" t="s">
        <v>274</v>
      </c>
      <c r="C92" s="322" t="s">
        <v>241</v>
      </c>
      <c r="D92" s="322" t="s">
        <v>310</v>
      </c>
      <c r="E92" s="322" t="s">
        <v>34</v>
      </c>
      <c r="F92" s="322" t="s">
        <v>219</v>
      </c>
      <c r="G92" s="343">
        <f t="shared" si="16"/>
        <v>61.09</v>
      </c>
      <c r="H92" s="343">
        <f t="shared" si="16"/>
        <v>2.4075000000000002</v>
      </c>
      <c r="I92" s="343">
        <f t="shared" si="17"/>
        <v>62.2575</v>
      </c>
      <c r="J92" s="343">
        <f t="shared" si="10"/>
        <v>670</v>
      </c>
      <c r="K92" s="343">
        <f t="shared" si="17"/>
        <v>72.147500000000008</v>
      </c>
      <c r="L92" s="324">
        <f t="shared" si="14"/>
        <v>0</v>
      </c>
      <c r="M92" s="343">
        <v>0</v>
      </c>
      <c r="N92" s="343">
        <f t="shared" si="18"/>
        <v>31.133899999999997</v>
      </c>
      <c r="O92" s="324">
        <f t="shared" si="15"/>
        <v>94.631399999999999</v>
      </c>
      <c r="P92" s="324">
        <f t="shared" si="12"/>
        <v>1019</v>
      </c>
      <c r="Q92" s="324">
        <f t="shared" si="19"/>
        <v>38.127071642261264</v>
      </c>
      <c r="R92" s="352">
        <v>1</v>
      </c>
      <c r="S92" s="352" t="s">
        <v>93</v>
      </c>
    </row>
    <row r="93" spans="1:19" ht="30" customHeight="1" x14ac:dyDescent="0.35">
      <c r="A93" s="328">
        <v>87</v>
      </c>
      <c r="B93" s="322" t="s">
        <v>274</v>
      </c>
      <c r="C93" s="322" t="s">
        <v>241</v>
      </c>
      <c r="D93" s="322" t="s">
        <v>311</v>
      </c>
      <c r="E93" s="322" t="s">
        <v>36</v>
      </c>
      <c r="F93" s="322" t="s">
        <v>148</v>
      </c>
      <c r="G93" s="343">
        <f t="shared" si="16"/>
        <v>79.760000000000005</v>
      </c>
      <c r="H93" s="343">
        <f t="shared" si="16"/>
        <v>3.9675000000000002</v>
      </c>
      <c r="I93" s="343">
        <f t="shared" si="17"/>
        <v>81.427500000000009</v>
      </c>
      <c r="J93" s="343">
        <f t="shared" si="10"/>
        <v>876</v>
      </c>
      <c r="K93" s="343">
        <f t="shared" si="17"/>
        <v>94.477500000000006</v>
      </c>
      <c r="L93" s="324">
        <f t="shared" si="14"/>
        <v>0</v>
      </c>
      <c r="M93" s="343">
        <v>0</v>
      </c>
      <c r="N93" s="343">
        <f t="shared" si="18"/>
        <v>40.042300000000012</v>
      </c>
      <c r="O93" s="324">
        <f t="shared" si="15"/>
        <v>123.76980000000002</v>
      </c>
      <c r="P93" s="324">
        <f t="shared" si="12"/>
        <v>1332</v>
      </c>
      <c r="Q93" s="324">
        <f t="shared" si="19"/>
        <v>49.866957814724799</v>
      </c>
      <c r="R93" s="352" t="s">
        <v>93</v>
      </c>
      <c r="S93" s="352">
        <v>1</v>
      </c>
    </row>
    <row r="94" spans="1:19" ht="30" customHeight="1" x14ac:dyDescent="0.35">
      <c r="A94" s="328">
        <v>88</v>
      </c>
      <c r="B94" s="322" t="s">
        <v>274</v>
      </c>
      <c r="C94" s="322" t="s">
        <v>241</v>
      </c>
      <c r="D94" s="322" t="s">
        <v>312</v>
      </c>
      <c r="E94" s="322" t="s">
        <v>36</v>
      </c>
      <c r="F94" s="322" t="s">
        <v>148</v>
      </c>
      <c r="G94" s="343">
        <f t="shared" si="16"/>
        <v>79.77</v>
      </c>
      <c r="H94" s="343">
        <f t="shared" si="16"/>
        <v>3.9675000000000002</v>
      </c>
      <c r="I94" s="343">
        <f t="shared" si="17"/>
        <v>81.357500000000002</v>
      </c>
      <c r="J94" s="343">
        <f t="shared" si="10"/>
        <v>876</v>
      </c>
      <c r="K94" s="343">
        <f t="shared" si="17"/>
        <v>94.487500000000011</v>
      </c>
      <c r="L94" s="324">
        <f t="shared" si="14"/>
        <v>0</v>
      </c>
      <c r="M94" s="343">
        <v>0</v>
      </c>
      <c r="N94" s="343">
        <f t="shared" si="18"/>
        <v>39.925900000000013</v>
      </c>
      <c r="O94" s="324">
        <f t="shared" si="15"/>
        <v>123.66340000000001</v>
      </c>
      <c r="P94" s="324">
        <f t="shared" si="12"/>
        <v>1331</v>
      </c>
      <c r="Q94" s="324">
        <f t="shared" si="19"/>
        <v>49.824089164121119</v>
      </c>
      <c r="R94" s="352" t="s">
        <v>93</v>
      </c>
      <c r="S94" s="352">
        <v>1</v>
      </c>
    </row>
    <row r="95" spans="1:19" ht="30" customHeight="1" x14ac:dyDescent="0.35">
      <c r="A95" s="328">
        <v>89</v>
      </c>
      <c r="B95" s="322" t="s">
        <v>274</v>
      </c>
      <c r="C95" s="322" t="s">
        <v>241</v>
      </c>
      <c r="D95" s="322" t="s">
        <v>313</v>
      </c>
      <c r="E95" s="322" t="s">
        <v>34</v>
      </c>
      <c r="F95" s="322" t="s">
        <v>219</v>
      </c>
      <c r="G95" s="343">
        <f t="shared" si="16"/>
        <v>58.38</v>
      </c>
      <c r="H95" s="343">
        <f t="shared" si="16"/>
        <v>2.4075000000000002</v>
      </c>
      <c r="I95" s="343">
        <f t="shared" si="17"/>
        <v>59.567500000000003</v>
      </c>
      <c r="J95" s="343">
        <f t="shared" si="10"/>
        <v>641</v>
      </c>
      <c r="K95" s="343">
        <f t="shared" si="17"/>
        <v>68.897500000000008</v>
      </c>
      <c r="L95" s="324">
        <f t="shared" si="14"/>
        <v>0</v>
      </c>
      <c r="M95" s="343">
        <v>0</v>
      </c>
      <c r="N95" s="343">
        <f t="shared" si="18"/>
        <v>29.755100000000006</v>
      </c>
      <c r="O95" s="324">
        <f t="shared" si="15"/>
        <v>90.542600000000007</v>
      </c>
      <c r="P95" s="324">
        <f t="shared" si="12"/>
        <v>975</v>
      </c>
      <c r="Q95" s="324">
        <f t="shared" si="19"/>
        <v>36.479690640491469</v>
      </c>
      <c r="R95" s="352">
        <v>1</v>
      </c>
      <c r="S95" s="352" t="s">
        <v>93</v>
      </c>
    </row>
    <row r="96" spans="1:19" ht="30" customHeight="1" x14ac:dyDescent="0.35">
      <c r="A96" s="328">
        <v>90</v>
      </c>
      <c r="B96" s="322" t="s">
        <v>274</v>
      </c>
      <c r="C96" s="322" t="s">
        <v>241</v>
      </c>
      <c r="D96" s="322" t="s">
        <v>314</v>
      </c>
      <c r="E96" s="322" t="s">
        <v>105</v>
      </c>
      <c r="F96" s="322" t="s">
        <v>148</v>
      </c>
      <c r="G96" s="343">
        <f t="shared" si="16"/>
        <v>80.02</v>
      </c>
      <c r="H96" s="343">
        <f t="shared" si="16"/>
        <v>3.8475000000000001</v>
      </c>
      <c r="I96" s="343">
        <f t="shared" si="17"/>
        <v>81.737500000000011</v>
      </c>
      <c r="J96" s="343">
        <f t="shared" si="10"/>
        <v>880</v>
      </c>
      <c r="K96" s="343">
        <f t="shared" si="17"/>
        <v>94.447500000000005</v>
      </c>
      <c r="L96" s="324">
        <f t="shared" si="14"/>
        <v>0</v>
      </c>
      <c r="M96" s="343">
        <v>0</v>
      </c>
      <c r="N96" s="343">
        <f t="shared" si="18"/>
        <v>40.373500000000021</v>
      </c>
      <c r="O96" s="324">
        <f t="shared" si="15"/>
        <v>124.24100000000001</v>
      </c>
      <c r="P96" s="324">
        <f t="shared" si="12"/>
        <v>1337</v>
      </c>
      <c r="Q96" s="324">
        <f t="shared" si="19"/>
        <v>50.056804695969646</v>
      </c>
      <c r="R96" s="352" t="s">
        <v>93</v>
      </c>
      <c r="S96" s="352">
        <v>1</v>
      </c>
    </row>
    <row r="97" spans="1:19" ht="30" customHeight="1" x14ac:dyDescent="0.35">
      <c r="A97" s="328">
        <v>91</v>
      </c>
      <c r="B97" s="322" t="s">
        <v>274</v>
      </c>
      <c r="C97" s="322" t="s">
        <v>241</v>
      </c>
      <c r="D97" s="322" t="s">
        <v>315</v>
      </c>
      <c r="E97" s="322" t="s">
        <v>36</v>
      </c>
      <c r="F97" s="322" t="s">
        <v>223</v>
      </c>
      <c r="G97" s="343">
        <f t="shared" si="16"/>
        <v>93.57</v>
      </c>
      <c r="H97" s="343">
        <f t="shared" si="16"/>
        <v>6.7649999999999997</v>
      </c>
      <c r="I97" s="343">
        <f t="shared" si="17"/>
        <v>96.995000000000005</v>
      </c>
      <c r="J97" s="343">
        <f t="shared" si="10"/>
        <v>1044</v>
      </c>
      <c r="K97" s="343">
        <f t="shared" si="17"/>
        <v>111.52499999999999</v>
      </c>
      <c r="L97" s="324">
        <f t="shared" si="14"/>
        <v>0</v>
      </c>
      <c r="M97" s="343">
        <v>0</v>
      </c>
      <c r="N97" s="343">
        <f t="shared" si="18"/>
        <v>47.097400000000007</v>
      </c>
      <c r="O97" s="324">
        <f t="shared" si="15"/>
        <v>147.4324</v>
      </c>
      <c r="P97" s="324">
        <f t="shared" si="12"/>
        <v>1587</v>
      </c>
      <c r="Q97" s="324">
        <f t="shared" si="19"/>
        <v>59.400639504334919</v>
      </c>
      <c r="R97" s="352" t="s">
        <v>93</v>
      </c>
      <c r="S97" s="352">
        <v>1</v>
      </c>
    </row>
    <row r="98" spans="1:19" ht="30" customHeight="1" x14ac:dyDescent="0.35">
      <c r="A98" s="328">
        <v>92</v>
      </c>
      <c r="B98" s="322" t="s">
        <v>274</v>
      </c>
      <c r="C98" s="322" t="s">
        <v>241</v>
      </c>
      <c r="D98" s="322" t="s">
        <v>316</v>
      </c>
      <c r="E98" s="322" t="s">
        <v>36</v>
      </c>
      <c r="F98" s="322" t="s">
        <v>223</v>
      </c>
      <c r="G98" s="343">
        <f t="shared" si="16"/>
        <v>93.57</v>
      </c>
      <c r="H98" s="343">
        <f t="shared" si="16"/>
        <v>6.7649999999999997</v>
      </c>
      <c r="I98" s="343">
        <f t="shared" si="17"/>
        <v>96.995000000000005</v>
      </c>
      <c r="J98" s="343">
        <f t="shared" si="10"/>
        <v>1044</v>
      </c>
      <c r="K98" s="343">
        <f t="shared" si="17"/>
        <v>111.465</v>
      </c>
      <c r="L98" s="324">
        <f t="shared" si="14"/>
        <v>0</v>
      </c>
      <c r="M98" s="343">
        <v>0</v>
      </c>
      <c r="N98" s="343">
        <f t="shared" si="18"/>
        <v>47.097400000000007</v>
      </c>
      <c r="O98" s="324">
        <f t="shared" si="15"/>
        <v>147.4324</v>
      </c>
      <c r="P98" s="324">
        <f t="shared" si="12"/>
        <v>1587</v>
      </c>
      <c r="Q98" s="324">
        <f t="shared" si="19"/>
        <v>59.400639504334919</v>
      </c>
      <c r="R98" s="352" t="s">
        <v>93</v>
      </c>
      <c r="S98" s="352">
        <v>1</v>
      </c>
    </row>
    <row r="99" spans="1:19" ht="30" customHeight="1" x14ac:dyDescent="0.35">
      <c r="A99" s="328">
        <v>93</v>
      </c>
      <c r="B99" s="322" t="s">
        <v>274</v>
      </c>
      <c r="C99" s="322" t="s">
        <v>241</v>
      </c>
      <c r="D99" s="322" t="s">
        <v>317</v>
      </c>
      <c r="E99" s="322" t="s">
        <v>36</v>
      </c>
      <c r="F99" s="322" t="s">
        <v>223</v>
      </c>
      <c r="G99" s="343">
        <f t="shared" si="16"/>
        <v>93.57</v>
      </c>
      <c r="H99" s="343">
        <f t="shared" si="16"/>
        <v>6.7649999999999997</v>
      </c>
      <c r="I99" s="343">
        <f t="shared" si="17"/>
        <v>96.995000000000005</v>
      </c>
      <c r="J99" s="343">
        <f t="shared" si="10"/>
        <v>1044</v>
      </c>
      <c r="K99" s="343">
        <f t="shared" si="17"/>
        <v>111.465</v>
      </c>
      <c r="L99" s="324">
        <f t="shared" si="14"/>
        <v>0</v>
      </c>
      <c r="M99" s="343">
        <v>0</v>
      </c>
      <c r="N99" s="343">
        <f t="shared" si="18"/>
        <v>47.097400000000007</v>
      </c>
      <c r="O99" s="324">
        <f t="shared" si="15"/>
        <v>147.4324</v>
      </c>
      <c r="P99" s="324">
        <f t="shared" si="12"/>
        <v>1587</v>
      </c>
      <c r="Q99" s="324">
        <f t="shared" si="19"/>
        <v>59.400639504334919</v>
      </c>
      <c r="R99" s="352" t="s">
        <v>93</v>
      </c>
      <c r="S99" s="352">
        <v>1</v>
      </c>
    </row>
    <row r="100" spans="1:19" ht="30" customHeight="1" x14ac:dyDescent="0.35">
      <c r="A100" s="328">
        <v>94</v>
      </c>
      <c r="B100" s="322" t="s">
        <v>274</v>
      </c>
      <c r="C100" s="322" t="s">
        <v>241</v>
      </c>
      <c r="D100" s="322" t="s">
        <v>318</v>
      </c>
      <c r="E100" s="322" t="s">
        <v>34</v>
      </c>
      <c r="F100" s="322" t="s">
        <v>219</v>
      </c>
      <c r="G100" s="343">
        <f t="shared" si="16"/>
        <v>58.38</v>
      </c>
      <c r="H100" s="343">
        <f t="shared" si="16"/>
        <v>2.4075000000000002</v>
      </c>
      <c r="I100" s="343">
        <f t="shared" si="17"/>
        <v>59.637499999999996</v>
      </c>
      <c r="J100" s="343">
        <f t="shared" si="10"/>
        <v>642</v>
      </c>
      <c r="K100" s="343">
        <f t="shared" si="17"/>
        <v>68.887500000000003</v>
      </c>
      <c r="L100" s="324">
        <f t="shared" si="14"/>
        <v>0</v>
      </c>
      <c r="M100" s="343">
        <v>0</v>
      </c>
      <c r="N100" s="343">
        <f t="shared" si="18"/>
        <v>29.861499999999999</v>
      </c>
      <c r="O100" s="324">
        <f t="shared" si="15"/>
        <v>90.649000000000001</v>
      </c>
      <c r="P100" s="324">
        <f t="shared" si="12"/>
        <v>976</v>
      </c>
      <c r="Q100" s="324">
        <f t="shared" si="19"/>
        <v>36.522559291095142</v>
      </c>
      <c r="R100" s="393">
        <v>1</v>
      </c>
      <c r="S100" s="352" t="s">
        <v>93</v>
      </c>
    </row>
    <row r="101" spans="1:19" ht="30" customHeight="1" x14ac:dyDescent="0.35">
      <c r="A101" s="328">
        <v>95</v>
      </c>
      <c r="B101" s="322" t="s">
        <v>274</v>
      </c>
      <c r="C101" s="322" t="s">
        <v>241</v>
      </c>
      <c r="D101" s="322" t="s">
        <v>319</v>
      </c>
      <c r="E101" s="322" t="s">
        <v>34</v>
      </c>
      <c r="F101" s="322" t="s">
        <v>219</v>
      </c>
      <c r="G101" s="343">
        <f t="shared" si="16"/>
        <v>58.38</v>
      </c>
      <c r="H101" s="343">
        <f t="shared" si="16"/>
        <v>2.4075000000000002</v>
      </c>
      <c r="I101" s="343">
        <f t="shared" si="17"/>
        <v>59.637499999999996</v>
      </c>
      <c r="J101" s="343">
        <f t="shared" si="10"/>
        <v>642</v>
      </c>
      <c r="K101" s="343">
        <f t="shared" si="17"/>
        <v>69.007500000000007</v>
      </c>
      <c r="L101" s="324">
        <f t="shared" si="14"/>
        <v>0</v>
      </c>
      <c r="M101" s="343">
        <v>0</v>
      </c>
      <c r="N101" s="343">
        <f t="shared" si="18"/>
        <v>29.861499999999999</v>
      </c>
      <c r="O101" s="324">
        <f t="shared" si="15"/>
        <v>90.649000000000001</v>
      </c>
      <c r="P101" s="324">
        <f t="shared" si="12"/>
        <v>976</v>
      </c>
      <c r="Q101" s="324">
        <f t="shared" si="19"/>
        <v>36.522559291095142</v>
      </c>
      <c r="R101" s="394"/>
      <c r="S101" s="352" t="s">
        <v>93</v>
      </c>
    </row>
    <row r="102" spans="1:19" ht="30" customHeight="1" x14ac:dyDescent="0.35">
      <c r="A102" s="328">
        <v>96</v>
      </c>
      <c r="B102" s="322" t="s">
        <v>274</v>
      </c>
      <c r="C102" s="322" t="s">
        <v>241</v>
      </c>
      <c r="D102" s="322" t="s">
        <v>320</v>
      </c>
      <c r="E102" s="322" t="s">
        <v>34</v>
      </c>
      <c r="F102" s="322" t="s">
        <v>148</v>
      </c>
      <c r="G102" s="343">
        <f t="shared" si="16"/>
        <v>79.81</v>
      </c>
      <c r="H102" s="343">
        <f t="shared" si="16"/>
        <v>3.9775</v>
      </c>
      <c r="I102" s="343">
        <f t="shared" si="17"/>
        <v>81.70750000000001</v>
      </c>
      <c r="J102" s="343">
        <f t="shared" si="10"/>
        <v>879</v>
      </c>
      <c r="K102" s="343">
        <f t="shared" si="17"/>
        <v>94.247500000000002</v>
      </c>
      <c r="L102" s="324">
        <f t="shared" si="14"/>
        <v>0</v>
      </c>
      <c r="M102" s="343">
        <v>0</v>
      </c>
      <c r="N102" s="343">
        <f t="shared" si="18"/>
        <v>40.407900000000019</v>
      </c>
      <c r="O102" s="324">
        <f t="shared" si="15"/>
        <v>124.19540000000002</v>
      </c>
      <c r="P102" s="324">
        <f t="shared" si="12"/>
        <v>1337</v>
      </c>
      <c r="Q102" s="324">
        <f t="shared" si="19"/>
        <v>50.038432417139504</v>
      </c>
      <c r="R102" s="352" t="s">
        <v>93</v>
      </c>
      <c r="S102" s="352">
        <v>1</v>
      </c>
    </row>
    <row r="103" spans="1:19" ht="30" customHeight="1" x14ac:dyDescent="0.35">
      <c r="A103" s="328">
        <v>97</v>
      </c>
      <c r="B103" s="322" t="s">
        <v>274</v>
      </c>
      <c r="C103" s="322" t="s">
        <v>241</v>
      </c>
      <c r="D103" s="322" t="s">
        <v>321</v>
      </c>
      <c r="E103" s="322" t="s">
        <v>34</v>
      </c>
      <c r="F103" s="322" t="s">
        <v>148</v>
      </c>
      <c r="G103" s="343">
        <f t="shared" si="16"/>
        <v>79.64</v>
      </c>
      <c r="H103" s="343">
        <f t="shared" si="16"/>
        <v>3.9775</v>
      </c>
      <c r="I103" s="343">
        <f t="shared" si="17"/>
        <v>81.417500000000004</v>
      </c>
      <c r="J103" s="343">
        <f t="shared" si="10"/>
        <v>876</v>
      </c>
      <c r="K103" s="343">
        <f t="shared" si="17"/>
        <v>94.107500000000002</v>
      </c>
      <c r="L103" s="324">
        <f t="shared" si="14"/>
        <v>0</v>
      </c>
      <c r="M103" s="343">
        <v>0</v>
      </c>
      <c r="N103" s="343">
        <f t="shared" si="18"/>
        <v>40.137100000000011</v>
      </c>
      <c r="O103" s="324">
        <f t="shared" si="15"/>
        <v>123.75460000000001</v>
      </c>
      <c r="P103" s="324">
        <f t="shared" si="12"/>
        <v>1332</v>
      </c>
      <c r="Q103" s="324">
        <f t="shared" si="19"/>
        <v>49.860833721781418</v>
      </c>
      <c r="R103" s="352" t="s">
        <v>93</v>
      </c>
      <c r="S103" s="352">
        <v>1</v>
      </c>
    </row>
    <row r="104" spans="1:19" ht="30" customHeight="1" x14ac:dyDescent="0.35">
      <c r="A104" s="328">
        <v>98</v>
      </c>
      <c r="B104" s="322" t="s">
        <v>274</v>
      </c>
      <c r="C104" s="322" t="s">
        <v>241</v>
      </c>
      <c r="D104" s="322" t="s">
        <v>322</v>
      </c>
      <c r="E104" s="322" t="s">
        <v>36</v>
      </c>
      <c r="F104" s="322" t="s">
        <v>223</v>
      </c>
      <c r="G104" s="343">
        <f t="shared" si="16"/>
        <v>93.57</v>
      </c>
      <c r="H104" s="343">
        <f t="shared" si="16"/>
        <v>6.7649999999999997</v>
      </c>
      <c r="I104" s="343">
        <f t="shared" si="17"/>
        <v>97.045000000000002</v>
      </c>
      <c r="J104" s="343">
        <f t="shared" si="10"/>
        <v>1045</v>
      </c>
      <c r="K104" s="343">
        <f t="shared" si="17"/>
        <v>111.52499999999999</v>
      </c>
      <c r="L104" s="324">
        <f t="shared" si="14"/>
        <v>0</v>
      </c>
      <c r="M104" s="343">
        <v>0</v>
      </c>
      <c r="N104" s="343">
        <f t="shared" si="18"/>
        <v>47.173400000000001</v>
      </c>
      <c r="O104" s="324">
        <f t="shared" si="15"/>
        <v>147.50839999999999</v>
      </c>
      <c r="P104" s="324">
        <f t="shared" si="12"/>
        <v>1588</v>
      </c>
      <c r="Q104" s="324">
        <f t="shared" si="19"/>
        <v>59.431259969051823</v>
      </c>
      <c r="R104" s="352" t="s">
        <v>93</v>
      </c>
      <c r="S104" s="352">
        <v>1</v>
      </c>
    </row>
    <row r="105" spans="1:19" ht="30" customHeight="1" x14ac:dyDescent="0.35">
      <c r="A105" s="328">
        <v>99</v>
      </c>
      <c r="B105" s="322" t="s">
        <v>274</v>
      </c>
      <c r="C105" s="322" t="s">
        <v>241</v>
      </c>
      <c r="D105" s="322" t="s">
        <v>323</v>
      </c>
      <c r="E105" s="322" t="s">
        <v>105</v>
      </c>
      <c r="F105" s="322" t="s">
        <v>223</v>
      </c>
      <c r="G105" s="343">
        <f t="shared" si="16"/>
        <v>94.76</v>
      </c>
      <c r="H105" s="343">
        <f t="shared" si="16"/>
        <v>9.8849999999999998</v>
      </c>
      <c r="I105" s="343">
        <f t="shared" si="17"/>
        <v>101.61499999999999</v>
      </c>
      <c r="J105" s="343">
        <f t="shared" si="10"/>
        <v>1094</v>
      </c>
      <c r="K105" s="343">
        <f t="shared" si="17"/>
        <v>115.69499999999999</v>
      </c>
      <c r="L105" s="324">
        <f t="shared" si="14"/>
        <v>0</v>
      </c>
      <c r="M105" s="343">
        <v>0</v>
      </c>
      <c r="N105" s="343">
        <f t="shared" si="18"/>
        <v>49.809800000000003</v>
      </c>
      <c r="O105" s="324">
        <f t="shared" si="15"/>
        <v>154.45480000000001</v>
      </c>
      <c r="P105" s="324">
        <f t="shared" si="12"/>
        <v>1663</v>
      </c>
      <c r="Q105" s="324">
        <f t="shared" si="19"/>
        <v>62.229970444177461</v>
      </c>
      <c r="R105" s="352" t="s">
        <v>93</v>
      </c>
      <c r="S105" s="352">
        <v>1</v>
      </c>
    </row>
    <row r="106" spans="1:19" ht="30" customHeight="1" x14ac:dyDescent="0.35">
      <c r="A106" s="328">
        <v>100</v>
      </c>
      <c r="B106" s="322" t="s">
        <v>274</v>
      </c>
      <c r="C106" s="322" t="s">
        <v>241</v>
      </c>
      <c r="D106" s="322" t="s">
        <v>324</v>
      </c>
      <c r="E106" s="322" t="s">
        <v>105</v>
      </c>
      <c r="F106" s="322" t="s">
        <v>148</v>
      </c>
      <c r="G106" s="343">
        <f t="shared" si="16"/>
        <v>80</v>
      </c>
      <c r="H106" s="343">
        <f t="shared" si="16"/>
        <v>3.9675000000000002</v>
      </c>
      <c r="I106" s="343">
        <f t="shared" si="17"/>
        <v>81.837500000000006</v>
      </c>
      <c r="J106" s="343">
        <f t="shared" si="10"/>
        <v>881</v>
      </c>
      <c r="K106" s="343">
        <f t="shared" si="17"/>
        <v>94.577500000000001</v>
      </c>
      <c r="L106" s="324">
        <f t="shared" si="14"/>
        <v>0</v>
      </c>
      <c r="M106" s="343">
        <v>0</v>
      </c>
      <c r="N106" s="343">
        <f t="shared" si="18"/>
        <v>40.425500000000014</v>
      </c>
      <c r="O106" s="324">
        <f t="shared" si="15"/>
        <v>124.39300000000001</v>
      </c>
      <c r="P106" s="324">
        <f t="shared" si="12"/>
        <v>1339</v>
      </c>
      <c r="Q106" s="324">
        <f t="shared" si="19"/>
        <v>50.118045625403468</v>
      </c>
      <c r="R106" s="352" t="s">
        <v>93</v>
      </c>
      <c r="S106" s="352">
        <v>1</v>
      </c>
    </row>
    <row r="107" spans="1:19" ht="30" customHeight="1" x14ac:dyDescent="0.35">
      <c r="A107" s="328">
        <v>101</v>
      </c>
      <c r="B107" s="322" t="s">
        <v>274</v>
      </c>
      <c r="C107" s="322" t="s">
        <v>241</v>
      </c>
      <c r="D107" s="322" t="s">
        <v>325</v>
      </c>
      <c r="E107" s="322" t="s">
        <v>34</v>
      </c>
      <c r="F107" s="322" t="s">
        <v>148</v>
      </c>
      <c r="G107" s="343">
        <f t="shared" si="16"/>
        <v>79.56</v>
      </c>
      <c r="H107" s="343">
        <f t="shared" si="16"/>
        <v>4.0975000000000001</v>
      </c>
      <c r="I107" s="343">
        <f t="shared" si="17"/>
        <v>81.417500000000004</v>
      </c>
      <c r="J107" s="343">
        <f t="shared" si="10"/>
        <v>876</v>
      </c>
      <c r="K107" s="343">
        <f t="shared" si="17"/>
        <v>94.337500000000006</v>
      </c>
      <c r="L107" s="324">
        <f t="shared" si="14"/>
        <v>0</v>
      </c>
      <c r="M107" s="343">
        <v>0</v>
      </c>
      <c r="N107" s="343">
        <f t="shared" si="18"/>
        <v>40.097100000000012</v>
      </c>
      <c r="O107" s="324">
        <f t="shared" si="15"/>
        <v>123.75460000000001</v>
      </c>
      <c r="P107" s="324">
        <f t="shared" si="12"/>
        <v>1332</v>
      </c>
      <c r="Q107" s="324">
        <f t="shared" si="19"/>
        <v>49.860833721781418</v>
      </c>
      <c r="R107" s="352" t="s">
        <v>93</v>
      </c>
      <c r="S107" s="352">
        <v>1</v>
      </c>
    </row>
    <row r="108" spans="1:19" ht="30" customHeight="1" x14ac:dyDescent="0.35">
      <c r="A108" s="328">
        <v>102</v>
      </c>
      <c r="B108" s="322" t="s">
        <v>274</v>
      </c>
      <c r="C108" s="322" t="s">
        <v>252</v>
      </c>
      <c r="D108" s="322" t="s">
        <v>326</v>
      </c>
      <c r="E108" s="322" t="s">
        <v>34</v>
      </c>
      <c r="F108" s="322" t="s">
        <v>219</v>
      </c>
      <c r="G108" s="343">
        <f t="shared" si="16"/>
        <v>61.09</v>
      </c>
      <c r="H108" s="343">
        <f t="shared" si="16"/>
        <v>2.4075000000000002</v>
      </c>
      <c r="I108" s="343">
        <f t="shared" si="17"/>
        <v>62.2575</v>
      </c>
      <c r="J108" s="343">
        <f t="shared" si="10"/>
        <v>670</v>
      </c>
      <c r="K108" s="343">
        <f t="shared" si="17"/>
        <v>72.147500000000008</v>
      </c>
      <c r="L108" s="324">
        <f t="shared" si="14"/>
        <v>0</v>
      </c>
      <c r="M108" s="343">
        <v>0</v>
      </c>
      <c r="N108" s="343">
        <f t="shared" si="18"/>
        <v>31.133899999999997</v>
      </c>
      <c r="O108" s="324">
        <f t="shared" si="15"/>
        <v>94.631399999999999</v>
      </c>
      <c r="P108" s="324">
        <f t="shared" si="12"/>
        <v>1019</v>
      </c>
      <c r="Q108" s="324">
        <f t="shared" si="19"/>
        <v>38.127071642261264</v>
      </c>
      <c r="R108" s="352">
        <v>1</v>
      </c>
      <c r="S108" s="352" t="s">
        <v>93</v>
      </c>
    </row>
    <row r="109" spans="1:19" ht="30" customHeight="1" x14ac:dyDescent="0.35">
      <c r="A109" s="328">
        <v>103</v>
      </c>
      <c r="B109" s="322" t="s">
        <v>274</v>
      </c>
      <c r="C109" s="322" t="s">
        <v>252</v>
      </c>
      <c r="D109" s="322" t="s">
        <v>327</v>
      </c>
      <c r="E109" s="322" t="s">
        <v>34</v>
      </c>
      <c r="F109" s="322" t="s">
        <v>219</v>
      </c>
      <c r="G109" s="343">
        <f t="shared" si="16"/>
        <v>61.09</v>
      </c>
      <c r="H109" s="343">
        <f t="shared" si="16"/>
        <v>2.4075000000000002</v>
      </c>
      <c r="I109" s="343">
        <f t="shared" si="17"/>
        <v>62.2575</v>
      </c>
      <c r="J109" s="343">
        <f t="shared" si="10"/>
        <v>670</v>
      </c>
      <c r="K109" s="343">
        <f t="shared" si="17"/>
        <v>72.147500000000008</v>
      </c>
      <c r="L109" s="324">
        <f t="shared" si="14"/>
        <v>0</v>
      </c>
      <c r="M109" s="343">
        <v>0</v>
      </c>
      <c r="N109" s="343">
        <f t="shared" si="18"/>
        <v>31.133899999999997</v>
      </c>
      <c r="O109" s="324">
        <f t="shared" si="15"/>
        <v>94.631399999999999</v>
      </c>
      <c r="P109" s="324">
        <f t="shared" si="12"/>
        <v>1019</v>
      </c>
      <c r="Q109" s="324">
        <f t="shared" si="19"/>
        <v>38.127071642261264</v>
      </c>
      <c r="R109" s="352">
        <v>1</v>
      </c>
      <c r="S109" s="352" t="s">
        <v>93</v>
      </c>
    </row>
    <row r="110" spans="1:19" ht="30" customHeight="1" x14ac:dyDescent="0.35">
      <c r="A110" s="328">
        <v>104</v>
      </c>
      <c r="B110" s="322" t="s">
        <v>274</v>
      </c>
      <c r="C110" s="322" t="s">
        <v>252</v>
      </c>
      <c r="D110" s="322" t="s">
        <v>328</v>
      </c>
      <c r="E110" s="322" t="s">
        <v>36</v>
      </c>
      <c r="F110" s="322" t="s">
        <v>148</v>
      </c>
      <c r="G110" s="343">
        <f t="shared" si="16"/>
        <v>79.760000000000005</v>
      </c>
      <c r="H110" s="343">
        <f t="shared" si="16"/>
        <v>3.9675000000000002</v>
      </c>
      <c r="I110" s="343">
        <f t="shared" si="17"/>
        <v>81.427500000000009</v>
      </c>
      <c r="J110" s="343">
        <f t="shared" si="10"/>
        <v>876</v>
      </c>
      <c r="K110" s="343">
        <f t="shared" si="17"/>
        <v>94.477500000000006</v>
      </c>
      <c r="L110" s="324">
        <f t="shared" si="14"/>
        <v>0</v>
      </c>
      <c r="M110" s="343">
        <v>0</v>
      </c>
      <c r="N110" s="343">
        <f t="shared" si="18"/>
        <v>40.042300000000012</v>
      </c>
      <c r="O110" s="324">
        <f t="shared" si="15"/>
        <v>123.76980000000002</v>
      </c>
      <c r="P110" s="324">
        <f t="shared" si="12"/>
        <v>1332</v>
      </c>
      <c r="Q110" s="324">
        <f t="shared" si="19"/>
        <v>49.866957814724799</v>
      </c>
      <c r="R110" s="352" t="s">
        <v>93</v>
      </c>
      <c r="S110" s="352">
        <v>1</v>
      </c>
    </row>
    <row r="111" spans="1:19" ht="30" customHeight="1" x14ac:dyDescent="0.35">
      <c r="A111" s="328">
        <v>105</v>
      </c>
      <c r="B111" s="322" t="s">
        <v>274</v>
      </c>
      <c r="C111" s="322" t="s">
        <v>252</v>
      </c>
      <c r="D111" s="322" t="s">
        <v>329</v>
      </c>
      <c r="E111" s="322" t="s">
        <v>36</v>
      </c>
      <c r="F111" s="322" t="s">
        <v>148</v>
      </c>
      <c r="G111" s="343">
        <f t="shared" si="16"/>
        <v>79.77</v>
      </c>
      <c r="H111" s="343">
        <f t="shared" si="16"/>
        <v>3.9675000000000002</v>
      </c>
      <c r="I111" s="343">
        <f t="shared" si="17"/>
        <v>81.357500000000002</v>
      </c>
      <c r="J111" s="343">
        <f t="shared" si="10"/>
        <v>876</v>
      </c>
      <c r="K111" s="343">
        <f t="shared" si="17"/>
        <v>94.487500000000011</v>
      </c>
      <c r="L111" s="324">
        <f t="shared" si="14"/>
        <v>0</v>
      </c>
      <c r="M111" s="343">
        <v>0</v>
      </c>
      <c r="N111" s="343">
        <f t="shared" si="18"/>
        <v>39.925900000000013</v>
      </c>
      <c r="O111" s="324">
        <f t="shared" si="15"/>
        <v>123.66340000000001</v>
      </c>
      <c r="P111" s="324">
        <f t="shared" si="12"/>
        <v>1331</v>
      </c>
      <c r="Q111" s="324">
        <f t="shared" si="19"/>
        <v>49.824089164121119</v>
      </c>
      <c r="R111" s="352" t="s">
        <v>93</v>
      </c>
      <c r="S111" s="352">
        <v>1</v>
      </c>
    </row>
    <row r="112" spans="1:19" ht="30" customHeight="1" x14ac:dyDescent="0.35">
      <c r="A112" s="328">
        <v>106</v>
      </c>
      <c r="B112" s="322" t="s">
        <v>274</v>
      </c>
      <c r="C112" s="322" t="s">
        <v>252</v>
      </c>
      <c r="D112" s="322" t="s">
        <v>330</v>
      </c>
      <c r="E112" s="322" t="s">
        <v>34</v>
      </c>
      <c r="F112" s="322" t="s">
        <v>219</v>
      </c>
      <c r="G112" s="343">
        <f t="shared" si="16"/>
        <v>58.38</v>
      </c>
      <c r="H112" s="343">
        <f t="shared" si="16"/>
        <v>2.4075000000000002</v>
      </c>
      <c r="I112" s="343">
        <f t="shared" si="17"/>
        <v>59.567500000000003</v>
      </c>
      <c r="J112" s="343">
        <f t="shared" si="10"/>
        <v>641</v>
      </c>
      <c r="K112" s="343">
        <f t="shared" si="17"/>
        <v>68.897500000000008</v>
      </c>
      <c r="L112" s="324">
        <f t="shared" si="14"/>
        <v>0</v>
      </c>
      <c r="M112" s="343">
        <v>0</v>
      </c>
      <c r="N112" s="343">
        <f t="shared" si="18"/>
        <v>29.755100000000006</v>
      </c>
      <c r="O112" s="324">
        <f t="shared" si="15"/>
        <v>90.542600000000007</v>
      </c>
      <c r="P112" s="324">
        <f t="shared" si="12"/>
        <v>975</v>
      </c>
      <c r="Q112" s="324">
        <f t="shared" si="19"/>
        <v>36.479690640491469</v>
      </c>
      <c r="R112" s="352">
        <v>1</v>
      </c>
      <c r="S112" s="352" t="s">
        <v>93</v>
      </c>
    </row>
    <row r="113" spans="1:19" ht="30" customHeight="1" x14ac:dyDescent="0.35">
      <c r="A113" s="328">
        <v>107</v>
      </c>
      <c r="B113" s="322" t="s">
        <v>274</v>
      </c>
      <c r="C113" s="322" t="s">
        <v>252</v>
      </c>
      <c r="D113" s="322" t="s">
        <v>331</v>
      </c>
      <c r="E113" s="322" t="s">
        <v>105</v>
      </c>
      <c r="F113" s="322" t="s">
        <v>148</v>
      </c>
      <c r="G113" s="343">
        <f t="shared" si="16"/>
        <v>80.02</v>
      </c>
      <c r="H113" s="343">
        <f t="shared" si="16"/>
        <v>3.8475000000000001</v>
      </c>
      <c r="I113" s="343">
        <f t="shared" si="17"/>
        <v>81.737500000000011</v>
      </c>
      <c r="J113" s="343">
        <f t="shared" si="10"/>
        <v>880</v>
      </c>
      <c r="K113" s="343">
        <f t="shared" si="17"/>
        <v>94.447500000000005</v>
      </c>
      <c r="L113" s="324">
        <f t="shared" si="14"/>
        <v>0</v>
      </c>
      <c r="M113" s="343">
        <v>0</v>
      </c>
      <c r="N113" s="343">
        <f t="shared" si="18"/>
        <v>40.373500000000021</v>
      </c>
      <c r="O113" s="324">
        <f t="shared" si="15"/>
        <v>124.24100000000001</v>
      </c>
      <c r="P113" s="324">
        <f t="shared" si="12"/>
        <v>1337</v>
      </c>
      <c r="Q113" s="324">
        <f t="shared" si="19"/>
        <v>50.056804695969646</v>
      </c>
      <c r="R113" s="352" t="s">
        <v>93</v>
      </c>
      <c r="S113" s="352">
        <v>1</v>
      </c>
    </row>
    <row r="114" spans="1:19" ht="30" customHeight="1" x14ac:dyDescent="0.35">
      <c r="A114" s="328">
        <v>108</v>
      </c>
      <c r="B114" s="322" t="s">
        <v>274</v>
      </c>
      <c r="C114" s="322" t="s">
        <v>252</v>
      </c>
      <c r="D114" s="322" t="s">
        <v>332</v>
      </c>
      <c r="E114" s="322" t="s">
        <v>36</v>
      </c>
      <c r="F114" s="322" t="s">
        <v>223</v>
      </c>
      <c r="G114" s="343">
        <f t="shared" si="16"/>
        <v>93.57</v>
      </c>
      <c r="H114" s="343">
        <f t="shared" si="16"/>
        <v>6.7649999999999997</v>
      </c>
      <c r="I114" s="343">
        <f t="shared" si="17"/>
        <v>96.995000000000005</v>
      </c>
      <c r="J114" s="343">
        <f t="shared" si="10"/>
        <v>1044</v>
      </c>
      <c r="K114" s="343">
        <f t="shared" si="17"/>
        <v>111.52499999999999</v>
      </c>
      <c r="L114" s="324">
        <f t="shared" si="14"/>
        <v>0</v>
      </c>
      <c r="M114" s="343">
        <v>0</v>
      </c>
      <c r="N114" s="343">
        <f t="shared" si="18"/>
        <v>47.097400000000007</v>
      </c>
      <c r="O114" s="324">
        <f t="shared" si="15"/>
        <v>147.4324</v>
      </c>
      <c r="P114" s="324">
        <f t="shared" si="12"/>
        <v>1587</v>
      </c>
      <c r="Q114" s="324">
        <f t="shared" si="19"/>
        <v>59.400639504334919</v>
      </c>
      <c r="R114" s="352" t="s">
        <v>93</v>
      </c>
      <c r="S114" s="352">
        <v>1</v>
      </c>
    </row>
    <row r="115" spans="1:19" ht="30" customHeight="1" x14ac:dyDescent="0.35">
      <c r="A115" s="328">
        <v>109</v>
      </c>
      <c r="B115" s="322" t="s">
        <v>274</v>
      </c>
      <c r="C115" s="322" t="s">
        <v>252</v>
      </c>
      <c r="D115" s="322" t="s">
        <v>333</v>
      </c>
      <c r="E115" s="322" t="s">
        <v>36</v>
      </c>
      <c r="F115" s="322" t="s">
        <v>223</v>
      </c>
      <c r="G115" s="343">
        <f t="shared" si="16"/>
        <v>93.57</v>
      </c>
      <c r="H115" s="343">
        <f t="shared" si="16"/>
        <v>6.7649999999999997</v>
      </c>
      <c r="I115" s="343">
        <f t="shared" si="17"/>
        <v>96.995000000000005</v>
      </c>
      <c r="J115" s="343">
        <f t="shared" si="10"/>
        <v>1044</v>
      </c>
      <c r="K115" s="343">
        <f t="shared" si="17"/>
        <v>111.465</v>
      </c>
      <c r="L115" s="324">
        <f t="shared" si="14"/>
        <v>0</v>
      </c>
      <c r="M115" s="343">
        <v>0</v>
      </c>
      <c r="N115" s="343">
        <f t="shared" si="18"/>
        <v>47.097400000000007</v>
      </c>
      <c r="O115" s="324">
        <f t="shared" si="15"/>
        <v>147.4324</v>
      </c>
      <c r="P115" s="324">
        <f t="shared" si="12"/>
        <v>1587</v>
      </c>
      <c r="Q115" s="324">
        <f t="shared" si="19"/>
        <v>59.400639504334919</v>
      </c>
      <c r="R115" s="352" t="s">
        <v>93</v>
      </c>
      <c r="S115" s="352">
        <v>1</v>
      </c>
    </row>
    <row r="116" spans="1:19" ht="30" customHeight="1" x14ac:dyDescent="0.35">
      <c r="A116" s="328">
        <v>110</v>
      </c>
      <c r="B116" s="322" t="s">
        <v>274</v>
      </c>
      <c r="C116" s="322" t="s">
        <v>252</v>
      </c>
      <c r="D116" s="322" t="s">
        <v>334</v>
      </c>
      <c r="E116" s="322" t="s">
        <v>36</v>
      </c>
      <c r="F116" s="322" t="s">
        <v>223</v>
      </c>
      <c r="G116" s="343">
        <f t="shared" si="16"/>
        <v>93.57</v>
      </c>
      <c r="H116" s="343">
        <f t="shared" si="16"/>
        <v>6.7649999999999997</v>
      </c>
      <c r="I116" s="343">
        <f t="shared" si="17"/>
        <v>96.995000000000005</v>
      </c>
      <c r="J116" s="343">
        <f t="shared" si="10"/>
        <v>1044</v>
      </c>
      <c r="K116" s="343">
        <f t="shared" si="17"/>
        <v>111.465</v>
      </c>
      <c r="L116" s="324">
        <f t="shared" si="14"/>
        <v>0</v>
      </c>
      <c r="M116" s="343">
        <v>0</v>
      </c>
      <c r="N116" s="343">
        <f t="shared" si="18"/>
        <v>47.097400000000007</v>
      </c>
      <c r="O116" s="324">
        <f t="shared" si="15"/>
        <v>147.4324</v>
      </c>
      <c r="P116" s="324">
        <f t="shared" si="12"/>
        <v>1587</v>
      </c>
      <c r="Q116" s="324">
        <f t="shared" si="19"/>
        <v>59.400639504334919</v>
      </c>
      <c r="R116" s="352" t="s">
        <v>93</v>
      </c>
      <c r="S116" s="352">
        <v>1</v>
      </c>
    </row>
    <row r="117" spans="1:19" ht="30" customHeight="1" x14ac:dyDescent="0.35">
      <c r="A117" s="328">
        <v>111</v>
      </c>
      <c r="B117" s="322" t="s">
        <v>274</v>
      </c>
      <c r="C117" s="322" t="s">
        <v>252</v>
      </c>
      <c r="D117" s="322" t="s">
        <v>335</v>
      </c>
      <c r="E117" s="322" t="s">
        <v>34</v>
      </c>
      <c r="F117" s="322" t="s">
        <v>219</v>
      </c>
      <c r="G117" s="343">
        <f t="shared" si="16"/>
        <v>58.38</v>
      </c>
      <c r="H117" s="343">
        <f t="shared" si="16"/>
        <v>2.4075000000000002</v>
      </c>
      <c r="I117" s="343">
        <f t="shared" si="17"/>
        <v>59.637499999999996</v>
      </c>
      <c r="J117" s="343">
        <f t="shared" si="10"/>
        <v>642</v>
      </c>
      <c r="K117" s="343">
        <f t="shared" si="17"/>
        <v>68.887500000000003</v>
      </c>
      <c r="L117" s="324">
        <f t="shared" si="14"/>
        <v>0</v>
      </c>
      <c r="M117" s="343">
        <v>0</v>
      </c>
      <c r="N117" s="343">
        <f t="shared" si="18"/>
        <v>29.861499999999999</v>
      </c>
      <c r="O117" s="324">
        <f t="shared" si="15"/>
        <v>90.649000000000001</v>
      </c>
      <c r="P117" s="324">
        <f t="shared" si="12"/>
        <v>976</v>
      </c>
      <c r="Q117" s="324">
        <f t="shared" si="19"/>
        <v>36.522559291095142</v>
      </c>
      <c r="R117" s="393">
        <v>1</v>
      </c>
      <c r="S117" s="352" t="s">
        <v>93</v>
      </c>
    </row>
    <row r="118" spans="1:19" ht="30" customHeight="1" x14ac:dyDescent="0.35">
      <c r="A118" s="328">
        <v>112</v>
      </c>
      <c r="B118" s="322" t="s">
        <v>274</v>
      </c>
      <c r="C118" s="322" t="s">
        <v>252</v>
      </c>
      <c r="D118" s="322" t="s">
        <v>336</v>
      </c>
      <c r="E118" s="322" t="s">
        <v>34</v>
      </c>
      <c r="F118" s="322" t="s">
        <v>219</v>
      </c>
      <c r="G118" s="343">
        <f t="shared" si="16"/>
        <v>58.38</v>
      </c>
      <c r="H118" s="343">
        <f t="shared" si="16"/>
        <v>2.4075000000000002</v>
      </c>
      <c r="I118" s="343">
        <f t="shared" si="17"/>
        <v>59.637499999999996</v>
      </c>
      <c r="J118" s="343">
        <f t="shared" si="10"/>
        <v>642</v>
      </c>
      <c r="K118" s="343">
        <f t="shared" si="17"/>
        <v>69.007500000000007</v>
      </c>
      <c r="L118" s="324">
        <f t="shared" si="14"/>
        <v>0</v>
      </c>
      <c r="M118" s="343">
        <v>0</v>
      </c>
      <c r="N118" s="343">
        <f t="shared" si="18"/>
        <v>29.861499999999999</v>
      </c>
      <c r="O118" s="324">
        <f t="shared" si="15"/>
        <v>90.649000000000001</v>
      </c>
      <c r="P118" s="324">
        <f t="shared" si="12"/>
        <v>976</v>
      </c>
      <c r="Q118" s="324">
        <f t="shared" si="19"/>
        <v>36.522559291095142</v>
      </c>
      <c r="R118" s="394"/>
      <c r="S118" s="352" t="s">
        <v>93</v>
      </c>
    </row>
    <row r="119" spans="1:19" ht="30" customHeight="1" x14ac:dyDescent="0.35">
      <c r="A119" s="328">
        <v>113</v>
      </c>
      <c r="B119" s="322" t="s">
        <v>274</v>
      </c>
      <c r="C119" s="322" t="s">
        <v>252</v>
      </c>
      <c r="D119" s="322" t="s">
        <v>337</v>
      </c>
      <c r="E119" s="322" t="s">
        <v>34</v>
      </c>
      <c r="F119" s="322" t="s">
        <v>148</v>
      </c>
      <c r="G119" s="343">
        <f t="shared" si="16"/>
        <v>79.81</v>
      </c>
      <c r="H119" s="343">
        <f t="shared" si="16"/>
        <v>3.9775</v>
      </c>
      <c r="I119" s="343">
        <f t="shared" si="17"/>
        <v>81.70750000000001</v>
      </c>
      <c r="J119" s="343">
        <f t="shared" si="10"/>
        <v>879</v>
      </c>
      <c r="K119" s="343">
        <f t="shared" si="17"/>
        <v>94.247500000000002</v>
      </c>
      <c r="L119" s="324">
        <f t="shared" si="14"/>
        <v>0</v>
      </c>
      <c r="M119" s="343">
        <v>0</v>
      </c>
      <c r="N119" s="343">
        <f t="shared" si="18"/>
        <v>40.407900000000019</v>
      </c>
      <c r="O119" s="324">
        <f t="shared" si="15"/>
        <v>124.19540000000002</v>
      </c>
      <c r="P119" s="324">
        <f t="shared" si="12"/>
        <v>1337</v>
      </c>
      <c r="Q119" s="324">
        <f t="shared" si="19"/>
        <v>50.038432417139504</v>
      </c>
      <c r="R119" s="352" t="s">
        <v>93</v>
      </c>
      <c r="S119" s="352">
        <v>1</v>
      </c>
    </row>
    <row r="120" spans="1:19" ht="30" customHeight="1" x14ac:dyDescent="0.35">
      <c r="A120" s="328">
        <v>114</v>
      </c>
      <c r="B120" s="322" t="s">
        <v>274</v>
      </c>
      <c r="C120" s="322" t="s">
        <v>252</v>
      </c>
      <c r="D120" s="322" t="s">
        <v>338</v>
      </c>
      <c r="E120" s="322" t="s">
        <v>34</v>
      </c>
      <c r="F120" s="322" t="s">
        <v>148</v>
      </c>
      <c r="G120" s="343">
        <f t="shared" si="16"/>
        <v>79.64</v>
      </c>
      <c r="H120" s="343">
        <f t="shared" si="16"/>
        <v>3.9775</v>
      </c>
      <c r="I120" s="343">
        <f t="shared" si="17"/>
        <v>81.417500000000004</v>
      </c>
      <c r="J120" s="343">
        <f t="shared" si="10"/>
        <v>876</v>
      </c>
      <c r="K120" s="343">
        <f t="shared" si="17"/>
        <v>94.107500000000002</v>
      </c>
      <c r="L120" s="324">
        <f t="shared" si="14"/>
        <v>0</v>
      </c>
      <c r="M120" s="343">
        <v>0</v>
      </c>
      <c r="N120" s="343">
        <f t="shared" si="18"/>
        <v>40.137100000000011</v>
      </c>
      <c r="O120" s="324">
        <f t="shared" si="15"/>
        <v>123.75460000000001</v>
      </c>
      <c r="P120" s="324">
        <f t="shared" si="12"/>
        <v>1332</v>
      </c>
      <c r="Q120" s="324">
        <f t="shared" si="19"/>
        <v>49.860833721781418</v>
      </c>
      <c r="R120" s="352" t="s">
        <v>93</v>
      </c>
      <c r="S120" s="352">
        <v>1</v>
      </c>
    </row>
    <row r="121" spans="1:19" ht="30" customHeight="1" x14ac:dyDescent="0.35">
      <c r="A121" s="328">
        <v>115</v>
      </c>
      <c r="B121" s="322" t="s">
        <v>274</v>
      </c>
      <c r="C121" s="322" t="s">
        <v>252</v>
      </c>
      <c r="D121" s="322" t="s">
        <v>339</v>
      </c>
      <c r="E121" s="322" t="s">
        <v>36</v>
      </c>
      <c r="F121" s="322" t="s">
        <v>223</v>
      </c>
      <c r="G121" s="343">
        <f t="shared" si="16"/>
        <v>93.57</v>
      </c>
      <c r="H121" s="343">
        <f t="shared" si="16"/>
        <v>6.7649999999999997</v>
      </c>
      <c r="I121" s="343">
        <f t="shared" si="17"/>
        <v>97.045000000000002</v>
      </c>
      <c r="J121" s="343">
        <f t="shared" ref="J121:J141" si="20">ROUND(I121*10.7639,0)</f>
        <v>1045</v>
      </c>
      <c r="K121" s="343">
        <f t="shared" si="17"/>
        <v>111.52499999999999</v>
      </c>
      <c r="L121" s="324">
        <f t="shared" si="14"/>
        <v>0</v>
      </c>
      <c r="M121" s="343">
        <v>0</v>
      </c>
      <c r="N121" s="343">
        <f t="shared" ref="N121:N141" si="21">O121-G121-H121-L121</f>
        <v>47.173400000000001</v>
      </c>
      <c r="O121" s="324">
        <f t="shared" si="15"/>
        <v>147.50839999999999</v>
      </c>
      <c r="P121" s="324">
        <f t="shared" ref="P121:P141" si="22">ROUND(O121*10.7639,0)</f>
        <v>1588</v>
      </c>
      <c r="Q121" s="324">
        <f t="shared" ref="Q121:Q141" si="23">O121/$O$150*$H$153</f>
        <v>59.431259969051823</v>
      </c>
      <c r="R121" s="352" t="s">
        <v>93</v>
      </c>
      <c r="S121" s="352">
        <v>1</v>
      </c>
    </row>
    <row r="122" spans="1:19" ht="30" customHeight="1" x14ac:dyDescent="0.35">
      <c r="A122" s="328">
        <v>116</v>
      </c>
      <c r="B122" s="322" t="s">
        <v>274</v>
      </c>
      <c r="C122" s="322" t="s">
        <v>252</v>
      </c>
      <c r="D122" s="322" t="s">
        <v>340</v>
      </c>
      <c r="E122" s="322" t="s">
        <v>105</v>
      </c>
      <c r="F122" s="322" t="s">
        <v>223</v>
      </c>
      <c r="G122" s="343">
        <f t="shared" si="16"/>
        <v>94.76</v>
      </c>
      <c r="H122" s="343">
        <f t="shared" si="16"/>
        <v>9.8849999999999998</v>
      </c>
      <c r="I122" s="343">
        <f t="shared" si="17"/>
        <v>101.61499999999999</v>
      </c>
      <c r="J122" s="343">
        <f t="shared" si="20"/>
        <v>1094</v>
      </c>
      <c r="K122" s="343">
        <f t="shared" si="17"/>
        <v>115.69499999999999</v>
      </c>
      <c r="L122" s="324">
        <f t="shared" ref="L122:L141" si="24">M122/2</f>
        <v>0</v>
      </c>
      <c r="M122" s="343">
        <v>0</v>
      </c>
      <c r="N122" s="343">
        <f t="shared" si="21"/>
        <v>49.809800000000003</v>
      </c>
      <c r="O122" s="324">
        <f t="shared" ref="O122:O141" si="25">I122*$T$1+L122</f>
        <v>154.45480000000001</v>
      </c>
      <c r="P122" s="324">
        <f t="shared" si="22"/>
        <v>1663</v>
      </c>
      <c r="Q122" s="324">
        <f t="shared" si="23"/>
        <v>62.229970444177461</v>
      </c>
      <c r="R122" s="352" t="s">
        <v>93</v>
      </c>
      <c r="S122" s="352">
        <v>1</v>
      </c>
    </row>
    <row r="123" spans="1:19" ht="30" customHeight="1" x14ac:dyDescent="0.35">
      <c r="A123" s="328">
        <v>117</v>
      </c>
      <c r="B123" s="322" t="s">
        <v>274</v>
      </c>
      <c r="C123" s="322" t="s">
        <v>252</v>
      </c>
      <c r="D123" s="322" t="s">
        <v>341</v>
      </c>
      <c r="E123" s="322" t="s">
        <v>105</v>
      </c>
      <c r="F123" s="322" t="s">
        <v>148</v>
      </c>
      <c r="G123" s="343">
        <f t="shared" si="16"/>
        <v>80</v>
      </c>
      <c r="H123" s="343">
        <f t="shared" si="16"/>
        <v>3.9675000000000002</v>
      </c>
      <c r="I123" s="343">
        <f t="shared" si="17"/>
        <v>81.837500000000006</v>
      </c>
      <c r="J123" s="343">
        <f t="shared" si="20"/>
        <v>881</v>
      </c>
      <c r="K123" s="343">
        <f t="shared" si="17"/>
        <v>94.577500000000001</v>
      </c>
      <c r="L123" s="324">
        <f t="shared" si="24"/>
        <v>0</v>
      </c>
      <c r="M123" s="343">
        <v>0</v>
      </c>
      <c r="N123" s="343">
        <f t="shared" si="21"/>
        <v>40.425500000000014</v>
      </c>
      <c r="O123" s="324">
        <f t="shared" si="25"/>
        <v>124.39300000000001</v>
      </c>
      <c r="P123" s="324">
        <f t="shared" si="22"/>
        <v>1339</v>
      </c>
      <c r="Q123" s="324">
        <f t="shared" si="23"/>
        <v>50.118045625403468</v>
      </c>
      <c r="R123" s="352" t="s">
        <v>93</v>
      </c>
      <c r="S123" s="352">
        <v>1</v>
      </c>
    </row>
    <row r="124" spans="1:19" ht="30" customHeight="1" x14ac:dyDescent="0.35">
      <c r="A124" s="328">
        <v>118</v>
      </c>
      <c r="B124" s="322" t="s">
        <v>274</v>
      </c>
      <c r="C124" s="322" t="s">
        <v>252</v>
      </c>
      <c r="D124" s="322" t="s">
        <v>342</v>
      </c>
      <c r="E124" s="322" t="s">
        <v>34</v>
      </c>
      <c r="F124" s="322" t="s">
        <v>148</v>
      </c>
      <c r="G124" s="343">
        <f t="shared" si="16"/>
        <v>79.56</v>
      </c>
      <c r="H124" s="343">
        <f t="shared" si="16"/>
        <v>4.0975000000000001</v>
      </c>
      <c r="I124" s="343">
        <f t="shared" si="17"/>
        <v>81.417500000000004</v>
      </c>
      <c r="J124" s="343">
        <f t="shared" si="20"/>
        <v>876</v>
      </c>
      <c r="K124" s="343">
        <f t="shared" si="17"/>
        <v>94.337500000000006</v>
      </c>
      <c r="L124" s="324">
        <f t="shared" si="24"/>
        <v>0</v>
      </c>
      <c r="M124" s="343">
        <v>0</v>
      </c>
      <c r="N124" s="343">
        <f t="shared" si="21"/>
        <v>40.097100000000012</v>
      </c>
      <c r="O124" s="324">
        <f t="shared" si="25"/>
        <v>123.75460000000001</v>
      </c>
      <c r="P124" s="324">
        <f t="shared" si="22"/>
        <v>1332</v>
      </c>
      <c r="Q124" s="324">
        <f t="shared" si="23"/>
        <v>49.860833721781418</v>
      </c>
      <c r="R124" s="352" t="s">
        <v>93</v>
      </c>
      <c r="S124" s="352">
        <v>1</v>
      </c>
    </row>
    <row r="125" spans="1:19" ht="30" customHeight="1" x14ac:dyDescent="0.35">
      <c r="A125" s="328">
        <v>119</v>
      </c>
      <c r="B125" s="322" t="s">
        <v>274</v>
      </c>
      <c r="C125" s="322" t="s">
        <v>263</v>
      </c>
      <c r="D125" s="322" t="s">
        <v>343</v>
      </c>
      <c r="E125" s="322" t="s">
        <v>34</v>
      </c>
      <c r="F125" s="322" t="s">
        <v>219</v>
      </c>
      <c r="G125" s="343">
        <f t="shared" si="16"/>
        <v>61.09</v>
      </c>
      <c r="H125" s="343">
        <f t="shared" si="16"/>
        <v>2.4075000000000002</v>
      </c>
      <c r="I125" s="343">
        <f t="shared" si="17"/>
        <v>62.2575</v>
      </c>
      <c r="J125" s="343">
        <f t="shared" si="20"/>
        <v>670</v>
      </c>
      <c r="K125" s="343">
        <f t="shared" si="17"/>
        <v>72.147500000000008</v>
      </c>
      <c r="L125" s="324">
        <f t="shared" si="24"/>
        <v>0</v>
      </c>
      <c r="M125" s="343">
        <v>0</v>
      </c>
      <c r="N125" s="343">
        <f t="shared" si="21"/>
        <v>31.133899999999997</v>
      </c>
      <c r="O125" s="324">
        <f t="shared" si="25"/>
        <v>94.631399999999999</v>
      </c>
      <c r="P125" s="324">
        <f t="shared" si="22"/>
        <v>1019</v>
      </c>
      <c r="Q125" s="324">
        <f t="shared" si="23"/>
        <v>38.127071642261264</v>
      </c>
      <c r="R125" s="352">
        <v>1</v>
      </c>
      <c r="S125" s="352" t="s">
        <v>93</v>
      </c>
    </row>
    <row r="126" spans="1:19" ht="30" customHeight="1" x14ac:dyDescent="0.35">
      <c r="A126" s="328">
        <v>120</v>
      </c>
      <c r="B126" s="322" t="s">
        <v>274</v>
      </c>
      <c r="C126" s="322" t="s">
        <v>263</v>
      </c>
      <c r="D126" s="322" t="s">
        <v>344</v>
      </c>
      <c r="E126" s="322" t="s">
        <v>34</v>
      </c>
      <c r="F126" s="322" t="s">
        <v>219</v>
      </c>
      <c r="G126" s="343">
        <f t="shared" si="16"/>
        <v>61.09</v>
      </c>
      <c r="H126" s="343">
        <f t="shared" si="16"/>
        <v>2.4075000000000002</v>
      </c>
      <c r="I126" s="343">
        <f t="shared" si="17"/>
        <v>62.2575</v>
      </c>
      <c r="J126" s="343">
        <f t="shared" si="20"/>
        <v>670</v>
      </c>
      <c r="K126" s="343">
        <f t="shared" si="17"/>
        <v>72.147500000000008</v>
      </c>
      <c r="L126" s="324">
        <f t="shared" si="24"/>
        <v>0</v>
      </c>
      <c r="M126" s="343">
        <v>0</v>
      </c>
      <c r="N126" s="343">
        <f t="shared" si="21"/>
        <v>31.133899999999997</v>
      </c>
      <c r="O126" s="324">
        <f t="shared" si="25"/>
        <v>94.631399999999999</v>
      </c>
      <c r="P126" s="324">
        <f t="shared" si="22"/>
        <v>1019</v>
      </c>
      <c r="Q126" s="324">
        <f t="shared" si="23"/>
        <v>38.127071642261264</v>
      </c>
      <c r="R126" s="352">
        <v>1</v>
      </c>
      <c r="S126" s="352" t="s">
        <v>93</v>
      </c>
    </row>
    <row r="127" spans="1:19" ht="30" customHeight="1" x14ac:dyDescent="0.35">
      <c r="A127" s="328">
        <v>121</v>
      </c>
      <c r="B127" s="322" t="s">
        <v>274</v>
      </c>
      <c r="C127" s="322" t="s">
        <v>263</v>
      </c>
      <c r="D127" s="322" t="s">
        <v>345</v>
      </c>
      <c r="E127" s="322" t="s">
        <v>36</v>
      </c>
      <c r="F127" s="322" t="s">
        <v>148</v>
      </c>
      <c r="G127" s="343">
        <f t="shared" si="16"/>
        <v>79.760000000000005</v>
      </c>
      <c r="H127" s="343">
        <f t="shared" si="16"/>
        <v>3.9675000000000002</v>
      </c>
      <c r="I127" s="343">
        <f t="shared" si="17"/>
        <v>81.427500000000009</v>
      </c>
      <c r="J127" s="343">
        <f t="shared" si="20"/>
        <v>876</v>
      </c>
      <c r="K127" s="343">
        <f t="shared" si="17"/>
        <v>94.477500000000006</v>
      </c>
      <c r="L127" s="324">
        <f t="shared" si="24"/>
        <v>0</v>
      </c>
      <c r="M127" s="343">
        <v>0</v>
      </c>
      <c r="N127" s="343">
        <f t="shared" si="21"/>
        <v>40.042300000000012</v>
      </c>
      <c r="O127" s="324">
        <f t="shared" si="25"/>
        <v>123.76980000000002</v>
      </c>
      <c r="P127" s="324">
        <f t="shared" si="22"/>
        <v>1332</v>
      </c>
      <c r="Q127" s="324">
        <f t="shared" si="23"/>
        <v>49.866957814724799</v>
      </c>
      <c r="R127" s="352" t="s">
        <v>93</v>
      </c>
      <c r="S127" s="352">
        <v>1</v>
      </c>
    </row>
    <row r="128" spans="1:19" ht="30" customHeight="1" x14ac:dyDescent="0.35">
      <c r="A128" s="328">
        <v>122</v>
      </c>
      <c r="B128" s="322" t="s">
        <v>274</v>
      </c>
      <c r="C128" s="322" t="s">
        <v>263</v>
      </c>
      <c r="D128" s="322" t="s">
        <v>346</v>
      </c>
      <c r="E128" s="322" t="s">
        <v>36</v>
      </c>
      <c r="F128" s="322" t="s">
        <v>148</v>
      </c>
      <c r="G128" s="343">
        <f t="shared" si="16"/>
        <v>79.77</v>
      </c>
      <c r="H128" s="343">
        <f t="shared" si="16"/>
        <v>3.9675000000000002</v>
      </c>
      <c r="I128" s="343">
        <f t="shared" si="17"/>
        <v>81.357500000000002</v>
      </c>
      <c r="J128" s="343">
        <f t="shared" si="20"/>
        <v>876</v>
      </c>
      <c r="K128" s="343">
        <f t="shared" si="17"/>
        <v>94.487500000000011</v>
      </c>
      <c r="L128" s="324">
        <f t="shared" si="24"/>
        <v>0</v>
      </c>
      <c r="M128" s="343">
        <v>0</v>
      </c>
      <c r="N128" s="343">
        <f t="shared" si="21"/>
        <v>39.925900000000013</v>
      </c>
      <c r="O128" s="324">
        <f t="shared" si="25"/>
        <v>123.66340000000001</v>
      </c>
      <c r="P128" s="324">
        <f t="shared" si="22"/>
        <v>1331</v>
      </c>
      <c r="Q128" s="324">
        <f t="shared" si="23"/>
        <v>49.824089164121119</v>
      </c>
      <c r="R128" s="352" t="s">
        <v>93</v>
      </c>
      <c r="S128" s="352">
        <v>1</v>
      </c>
    </row>
    <row r="129" spans="1:19" ht="30" customHeight="1" x14ac:dyDescent="0.35">
      <c r="A129" s="328">
        <v>123</v>
      </c>
      <c r="B129" s="322" t="s">
        <v>274</v>
      </c>
      <c r="C129" s="322" t="s">
        <v>263</v>
      </c>
      <c r="D129" s="322" t="s">
        <v>347</v>
      </c>
      <c r="E129" s="322" t="s">
        <v>34</v>
      </c>
      <c r="F129" s="322" t="s">
        <v>219</v>
      </c>
      <c r="G129" s="343">
        <f t="shared" si="16"/>
        <v>58.38</v>
      </c>
      <c r="H129" s="343">
        <f t="shared" si="16"/>
        <v>2.4075000000000002</v>
      </c>
      <c r="I129" s="343">
        <f t="shared" si="17"/>
        <v>59.567500000000003</v>
      </c>
      <c r="J129" s="343">
        <f t="shared" si="20"/>
        <v>641</v>
      </c>
      <c r="K129" s="343">
        <f t="shared" si="17"/>
        <v>68.897500000000008</v>
      </c>
      <c r="L129" s="324">
        <f t="shared" si="24"/>
        <v>0</v>
      </c>
      <c r="M129" s="343">
        <v>0</v>
      </c>
      <c r="N129" s="343">
        <f t="shared" si="21"/>
        <v>29.755100000000006</v>
      </c>
      <c r="O129" s="324">
        <f t="shared" si="25"/>
        <v>90.542600000000007</v>
      </c>
      <c r="P129" s="324">
        <f t="shared" si="22"/>
        <v>975</v>
      </c>
      <c r="Q129" s="324">
        <f t="shared" si="23"/>
        <v>36.479690640491469</v>
      </c>
      <c r="R129" s="352">
        <v>1</v>
      </c>
      <c r="S129" s="352" t="s">
        <v>93</v>
      </c>
    </row>
    <row r="130" spans="1:19" ht="30" customHeight="1" x14ac:dyDescent="0.35">
      <c r="A130" s="328">
        <v>124</v>
      </c>
      <c r="B130" s="322" t="s">
        <v>274</v>
      </c>
      <c r="C130" s="322" t="s">
        <v>263</v>
      </c>
      <c r="D130" s="322" t="s">
        <v>348</v>
      </c>
      <c r="E130" s="322" t="s">
        <v>105</v>
      </c>
      <c r="F130" s="322" t="s">
        <v>148</v>
      </c>
      <c r="G130" s="343">
        <f t="shared" si="16"/>
        <v>80.02</v>
      </c>
      <c r="H130" s="343">
        <f t="shared" si="16"/>
        <v>3.8475000000000001</v>
      </c>
      <c r="I130" s="343">
        <f t="shared" si="17"/>
        <v>81.737500000000011</v>
      </c>
      <c r="J130" s="343">
        <f t="shared" si="20"/>
        <v>880</v>
      </c>
      <c r="K130" s="343">
        <f t="shared" si="17"/>
        <v>94.447500000000005</v>
      </c>
      <c r="L130" s="324">
        <f t="shared" si="24"/>
        <v>0</v>
      </c>
      <c r="M130" s="343">
        <v>0</v>
      </c>
      <c r="N130" s="343">
        <f t="shared" si="21"/>
        <v>40.373500000000021</v>
      </c>
      <c r="O130" s="324">
        <f t="shared" si="25"/>
        <v>124.24100000000001</v>
      </c>
      <c r="P130" s="324">
        <f t="shared" si="22"/>
        <v>1337</v>
      </c>
      <c r="Q130" s="324">
        <f t="shared" si="23"/>
        <v>50.056804695969646</v>
      </c>
      <c r="R130" s="352" t="s">
        <v>93</v>
      </c>
      <c r="S130" s="352">
        <v>1</v>
      </c>
    </row>
    <row r="131" spans="1:19" ht="30" customHeight="1" x14ac:dyDescent="0.35">
      <c r="A131" s="328">
        <v>125</v>
      </c>
      <c r="B131" s="322" t="s">
        <v>274</v>
      </c>
      <c r="C131" s="322" t="s">
        <v>263</v>
      </c>
      <c r="D131" s="322" t="s">
        <v>349</v>
      </c>
      <c r="E131" s="322" t="s">
        <v>36</v>
      </c>
      <c r="F131" s="322" t="s">
        <v>223</v>
      </c>
      <c r="G131" s="343">
        <f t="shared" si="16"/>
        <v>93.57</v>
      </c>
      <c r="H131" s="343">
        <f t="shared" si="16"/>
        <v>6.7649999999999997</v>
      </c>
      <c r="I131" s="343">
        <f t="shared" si="17"/>
        <v>96.995000000000005</v>
      </c>
      <c r="J131" s="343">
        <f t="shared" si="20"/>
        <v>1044</v>
      </c>
      <c r="K131" s="343">
        <f t="shared" si="17"/>
        <v>111.52499999999999</v>
      </c>
      <c r="L131" s="324">
        <f t="shared" si="24"/>
        <v>0</v>
      </c>
      <c r="M131" s="343">
        <v>0</v>
      </c>
      <c r="N131" s="343">
        <f t="shared" si="21"/>
        <v>47.097400000000007</v>
      </c>
      <c r="O131" s="324">
        <f t="shared" si="25"/>
        <v>147.4324</v>
      </c>
      <c r="P131" s="324">
        <f t="shared" si="22"/>
        <v>1587</v>
      </c>
      <c r="Q131" s="324">
        <f t="shared" si="23"/>
        <v>59.400639504334919</v>
      </c>
      <c r="R131" s="352" t="s">
        <v>93</v>
      </c>
      <c r="S131" s="352">
        <v>1</v>
      </c>
    </row>
    <row r="132" spans="1:19" ht="30" customHeight="1" x14ac:dyDescent="0.35">
      <c r="A132" s="328">
        <v>126</v>
      </c>
      <c r="B132" s="322" t="s">
        <v>274</v>
      </c>
      <c r="C132" s="322" t="s">
        <v>263</v>
      </c>
      <c r="D132" s="322" t="s">
        <v>350</v>
      </c>
      <c r="E132" s="322" t="s">
        <v>36</v>
      </c>
      <c r="F132" s="322" t="s">
        <v>223</v>
      </c>
      <c r="G132" s="343">
        <f t="shared" si="16"/>
        <v>93.57</v>
      </c>
      <c r="H132" s="343">
        <f t="shared" si="16"/>
        <v>6.7649999999999997</v>
      </c>
      <c r="I132" s="343">
        <f t="shared" si="17"/>
        <v>96.995000000000005</v>
      </c>
      <c r="J132" s="343">
        <f t="shared" si="20"/>
        <v>1044</v>
      </c>
      <c r="K132" s="343">
        <f t="shared" si="17"/>
        <v>111.465</v>
      </c>
      <c r="L132" s="324">
        <f t="shared" si="24"/>
        <v>0</v>
      </c>
      <c r="M132" s="343">
        <v>0</v>
      </c>
      <c r="N132" s="343">
        <f t="shared" si="21"/>
        <v>47.097400000000007</v>
      </c>
      <c r="O132" s="324">
        <f t="shared" si="25"/>
        <v>147.4324</v>
      </c>
      <c r="P132" s="324">
        <f t="shared" si="22"/>
        <v>1587</v>
      </c>
      <c r="Q132" s="324">
        <f t="shared" si="23"/>
        <v>59.400639504334919</v>
      </c>
      <c r="R132" s="352" t="s">
        <v>93</v>
      </c>
      <c r="S132" s="352">
        <v>1</v>
      </c>
    </row>
    <row r="133" spans="1:19" ht="30" customHeight="1" x14ac:dyDescent="0.35">
      <c r="A133" s="328">
        <v>127</v>
      </c>
      <c r="B133" s="322" t="s">
        <v>274</v>
      </c>
      <c r="C133" s="322" t="s">
        <v>263</v>
      </c>
      <c r="D133" s="322" t="s">
        <v>351</v>
      </c>
      <c r="E133" s="322" t="s">
        <v>36</v>
      </c>
      <c r="F133" s="322" t="s">
        <v>223</v>
      </c>
      <c r="G133" s="343">
        <f t="shared" si="16"/>
        <v>93.57</v>
      </c>
      <c r="H133" s="343">
        <f t="shared" si="16"/>
        <v>6.7649999999999997</v>
      </c>
      <c r="I133" s="343">
        <f t="shared" si="17"/>
        <v>96.995000000000005</v>
      </c>
      <c r="J133" s="343">
        <f t="shared" si="20"/>
        <v>1044</v>
      </c>
      <c r="K133" s="343">
        <f t="shared" si="17"/>
        <v>111.465</v>
      </c>
      <c r="L133" s="324">
        <f t="shared" si="24"/>
        <v>0</v>
      </c>
      <c r="M133" s="343">
        <v>0</v>
      </c>
      <c r="N133" s="343">
        <f t="shared" si="21"/>
        <v>47.097400000000007</v>
      </c>
      <c r="O133" s="324">
        <f t="shared" si="25"/>
        <v>147.4324</v>
      </c>
      <c r="P133" s="324">
        <f t="shared" si="22"/>
        <v>1587</v>
      </c>
      <c r="Q133" s="324">
        <f t="shared" si="23"/>
        <v>59.400639504334919</v>
      </c>
      <c r="R133" s="352" t="s">
        <v>93</v>
      </c>
      <c r="S133" s="352">
        <v>1</v>
      </c>
    </row>
    <row r="134" spans="1:19" ht="30" customHeight="1" x14ac:dyDescent="0.35">
      <c r="A134" s="328">
        <v>128</v>
      </c>
      <c r="B134" s="322" t="s">
        <v>274</v>
      </c>
      <c r="C134" s="322" t="s">
        <v>263</v>
      </c>
      <c r="D134" s="322" t="s">
        <v>352</v>
      </c>
      <c r="E134" s="322" t="s">
        <v>34</v>
      </c>
      <c r="F134" s="322" t="s">
        <v>219</v>
      </c>
      <c r="G134" s="343">
        <f t="shared" si="16"/>
        <v>58.38</v>
      </c>
      <c r="H134" s="343">
        <f t="shared" si="16"/>
        <v>2.4075000000000002</v>
      </c>
      <c r="I134" s="343">
        <f t="shared" si="17"/>
        <v>59.637499999999996</v>
      </c>
      <c r="J134" s="343">
        <f t="shared" si="20"/>
        <v>642</v>
      </c>
      <c r="K134" s="343">
        <f t="shared" si="17"/>
        <v>68.887500000000003</v>
      </c>
      <c r="L134" s="324">
        <f t="shared" si="24"/>
        <v>0</v>
      </c>
      <c r="M134" s="343">
        <v>0</v>
      </c>
      <c r="N134" s="343">
        <f t="shared" si="21"/>
        <v>29.861499999999999</v>
      </c>
      <c r="O134" s="324">
        <f t="shared" si="25"/>
        <v>90.649000000000001</v>
      </c>
      <c r="P134" s="324">
        <f t="shared" si="22"/>
        <v>976</v>
      </c>
      <c r="Q134" s="324">
        <f t="shared" si="23"/>
        <v>36.522559291095142</v>
      </c>
      <c r="R134" s="393">
        <v>1</v>
      </c>
      <c r="S134" s="352" t="s">
        <v>93</v>
      </c>
    </row>
    <row r="135" spans="1:19" ht="30" customHeight="1" x14ac:dyDescent="0.35">
      <c r="A135" s="328">
        <v>129</v>
      </c>
      <c r="B135" s="322" t="s">
        <v>274</v>
      </c>
      <c r="C135" s="322" t="s">
        <v>263</v>
      </c>
      <c r="D135" s="322" t="s">
        <v>353</v>
      </c>
      <c r="E135" s="322" t="s">
        <v>34</v>
      </c>
      <c r="F135" s="322" t="s">
        <v>219</v>
      </c>
      <c r="G135" s="343">
        <f t="shared" si="16"/>
        <v>58.38</v>
      </c>
      <c r="H135" s="343">
        <f t="shared" si="16"/>
        <v>2.4075000000000002</v>
      </c>
      <c r="I135" s="343">
        <f t="shared" si="17"/>
        <v>59.637499999999996</v>
      </c>
      <c r="J135" s="343">
        <f t="shared" si="20"/>
        <v>642</v>
      </c>
      <c r="K135" s="343">
        <f t="shared" si="17"/>
        <v>69.007500000000007</v>
      </c>
      <c r="L135" s="324">
        <f t="shared" si="24"/>
        <v>0</v>
      </c>
      <c r="M135" s="343">
        <v>0</v>
      </c>
      <c r="N135" s="343">
        <f t="shared" si="21"/>
        <v>29.861499999999999</v>
      </c>
      <c r="O135" s="324">
        <f t="shared" si="25"/>
        <v>90.649000000000001</v>
      </c>
      <c r="P135" s="324">
        <f t="shared" si="22"/>
        <v>976</v>
      </c>
      <c r="Q135" s="324">
        <f t="shared" si="23"/>
        <v>36.522559291095142</v>
      </c>
      <c r="R135" s="394"/>
      <c r="S135" s="352" t="s">
        <v>93</v>
      </c>
    </row>
    <row r="136" spans="1:19" ht="30" customHeight="1" x14ac:dyDescent="0.35">
      <c r="A136" s="328">
        <v>130</v>
      </c>
      <c r="B136" s="322" t="s">
        <v>274</v>
      </c>
      <c r="C136" s="322" t="s">
        <v>263</v>
      </c>
      <c r="D136" s="322" t="s">
        <v>354</v>
      </c>
      <c r="E136" s="322" t="s">
        <v>34</v>
      </c>
      <c r="F136" s="322" t="s">
        <v>148</v>
      </c>
      <c r="G136" s="343">
        <f t="shared" si="16"/>
        <v>79.81</v>
      </c>
      <c r="H136" s="343">
        <f t="shared" si="16"/>
        <v>3.9775</v>
      </c>
      <c r="I136" s="343">
        <f t="shared" si="17"/>
        <v>81.70750000000001</v>
      </c>
      <c r="J136" s="343">
        <f t="shared" si="20"/>
        <v>879</v>
      </c>
      <c r="K136" s="343">
        <f t="shared" si="17"/>
        <v>94.247500000000002</v>
      </c>
      <c r="L136" s="324">
        <f t="shared" si="24"/>
        <v>0</v>
      </c>
      <c r="M136" s="343">
        <v>0</v>
      </c>
      <c r="N136" s="343">
        <f t="shared" si="21"/>
        <v>40.407900000000019</v>
      </c>
      <c r="O136" s="324">
        <f t="shared" si="25"/>
        <v>124.19540000000002</v>
      </c>
      <c r="P136" s="324">
        <f t="shared" si="22"/>
        <v>1337</v>
      </c>
      <c r="Q136" s="324">
        <f t="shared" si="23"/>
        <v>50.038432417139504</v>
      </c>
      <c r="R136" s="352" t="s">
        <v>93</v>
      </c>
      <c r="S136" s="352">
        <v>1</v>
      </c>
    </row>
    <row r="137" spans="1:19" ht="30" customHeight="1" x14ac:dyDescent="0.35">
      <c r="A137" s="328">
        <v>131</v>
      </c>
      <c r="B137" s="322" t="s">
        <v>274</v>
      </c>
      <c r="C137" s="322" t="s">
        <v>263</v>
      </c>
      <c r="D137" s="322" t="s">
        <v>355</v>
      </c>
      <c r="E137" s="322" t="s">
        <v>34</v>
      </c>
      <c r="F137" s="322" t="s">
        <v>148</v>
      </c>
      <c r="G137" s="343">
        <f t="shared" si="16"/>
        <v>79.64</v>
      </c>
      <c r="H137" s="343">
        <f t="shared" si="16"/>
        <v>3.9775</v>
      </c>
      <c r="I137" s="343">
        <f t="shared" si="17"/>
        <v>81.417500000000004</v>
      </c>
      <c r="J137" s="343">
        <f t="shared" si="20"/>
        <v>876</v>
      </c>
      <c r="K137" s="343">
        <f t="shared" si="17"/>
        <v>94.107500000000002</v>
      </c>
      <c r="L137" s="324">
        <f t="shared" si="24"/>
        <v>0</v>
      </c>
      <c r="M137" s="343">
        <v>0</v>
      </c>
      <c r="N137" s="343">
        <f t="shared" si="21"/>
        <v>40.137100000000011</v>
      </c>
      <c r="O137" s="324">
        <f t="shared" si="25"/>
        <v>123.75460000000001</v>
      </c>
      <c r="P137" s="324">
        <f t="shared" si="22"/>
        <v>1332</v>
      </c>
      <c r="Q137" s="324">
        <f t="shared" si="23"/>
        <v>49.860833721781418</v>
      </c>
      <c r="R137" s="352" t="s">
        <v>93</v>
      </c>
      <c r="S137" s="352">
        <v>1</v>
      </c>
    </row>
    <row r="138" spans="1:19" ht="30" customHeight="1" x14ac:dyDescent="0.35">
      <c r="A138" s="328">
        <v>132</v>
      </c>
      <c r="B138" s="322" t="s">
        <v>274</v>
      </c>
      <c r="C138" s="322" t="s">
        <v>263</v>
      </c>
      <c r="D138" s="322" t="s">
        <v>356</v>
      </c>
      <c r="E138" s="322" t="s">
        <v>36</v>
      </c>
      <c r="F138" s="322" t="s">
        <v>223</v>
      </c>
      <c r="G138" s="343">
        <f t="shared" si="16"/>
        <v>93.57</v>
      </c>
      <c r="H138" s="343">
        <f t="shared" si="16"/>
        <v>6.7649999999999997</v>
      </c>
      <c r="I138" s="343">
        <f t="shared" si="17"/>
        <v>97.045000000000002</v>
      </c>
      <c r="J138" s="343">
        <f t="shared" si="20"/>
        <v>1045</v>
      </c>
      <c r="K138" s="343">
        <f t="shared" si="17"/>
        <v>111.52499999999999</v>
      </c>
      <c r="L138" s="324">
        <f t="shared" si="24"/>
        <v>0</v>
      </c>
      <c r="M138" s="343">
        <v>0</v>
      </c>
      <c r="N138" s="343">
        <f t="shared" si="21"/>
        <v>47.173400000000001</v>
      </c>
      <c r="O138" s="324">
        <f t="shared" si="25"/>
        <v>147.50839999999999</v>
      </c>
      <c r="P138" s="324">
        <f t="shared" si="22"/>
        <v>1588</v>
      </c>
      <c r="Q138" s="324">
        <f t="shared" si="23"/>
        <v>59.431259969051823</v>
      </c>
      <c r="R138" s="352" t="s">
        <v>93</v>
      </c>
      <c r="S138" s="352">
        <v>1</v>
      </c>
    </row>
    <row r="139" spans="1:19" ht="30" customHeight="1" x14ac:dyDescent="0.35">
      <c r="A139" s="328">
        <v>133</v>
      </c>
      <c r="B139" s="322" t="s">
        <v>274</v>
      </c>
      <c r="C139" s="322" t="s">
        <v>263</v>
      </c>
      <c r="D139" s="322" t="s">
        <v>357</v>
      </c>
      <c r="E139" s="322" t="s">
        <v>105</v>
      </c>
      <c r="F139" s="322" t="s">
        <v>223</v>
      </c>
      <c r="G139" s="343">
        <f t="shared" ref="G139:H141" si="26">G122</f>
        <v>94.76</v>
      </c>
      <c r="H139" s="343">
        <f t="shared" si="26"/>
        <v>9.8849999999999998</v>
      </c>
      <c r="I139" s="343">
        <f t="shared" ref="I139:K141" si="27">I122</f>
        <v>101.61499999999999</v>
      </c>
      <c r="J139" s="343">
        <f t="shared" si="20"/>
        <v>1094</v>
      </c>
      <c r="K139" s="343">
        <f t="shared" si="27"/>
        <v>115.69499999999999</v>
      </c>
      <c r="L139" s="324">
        <f t="shared" si="24"/>
        <v>0</v>
      </c>
      <c r="M139" s="343">
        <v>0</v>
      </c>
      <c r="N139" s="343">
        <f t="shared" si="21"/>
        <v>49.809800000000003</v>
      </c>
      <c r="O139" s="324">
        <f t="shared" si="25"/>
        <v>154.45480000000001</v>
      </c>
      <c r="P139" s="324">
        <f t="shared" si="22"/>
        <v>1663</v>
      </c>
      <c r="Q139" s="324">
        <f t="shared" si="23"/>
        <v>62.229970444177461</v>
      </c>
      <c r="R139" s="352" t="s">
        <v>93</v>
      </c>
      <c r="S139" s="352">
        <v>1</v>
      </c>
    </row>
    <row r="140" spans="1:19" ht="30" customHeight="1" x14ac:dyDescent="0.35">
      <c r="A140" s="328">
        <v>134</v>
      </c>
      <c r="B140" s="322" t="s">
        <v>274</v>
      </c>
      <c r="C140" s="322" t="s">
        <v>263</v>
      </c>
      <c r="D140" s="322" t="s">
        <v>358</v>
      </c>
      <c r="E140" s="322" t="s">
        <v>105</v>
      </c>
      <c r="F140" s="322" t="s">
        <v>148</v>
      </c>
      <c r="G140" s="343">
        <f t="shared" si="26"/>
        <v>80</v>
      </c>
      <c r="H140" s="343">
        <f t="shared" si="26"/>
        <v>3.9675000000000002</v>
      </c>
      <c r="I140" s="343">
        <f t="shared" si="27"/>
        <v>81.837500000000006</v>
      </c>
      <c r="J140" s="343">
        <f t="shared" si="20"/>
        <v>881</v>
      </c>
      <c r="K140" s="343">
        <f t="shared" si="27"/>
        <v>94.577500000000001</v>
      </c>
      <c r="L140" s="324">
        <f t="shared" si="24"/>
        <v>0</v>
      </c>
      <c r="M140" s="343">
        <v>0</v>
      </c>
      <c r="N140" s="343">
        <f t="shared" si="21"/>
        <v>40.425500000000014</v>
      </c>
      <c r="O140" s="324">
        <f t="shared" si="25"/>
        <v>124.39300000000001</v>
      </c>
      <c r="P140" s="324">
        <f t="shared" si="22"/>
        <v>1339</v>
      </c>
      <c r="Q140" s="324">
        <f t="shared" si="23"/>
        <v>50.118045625403468</v>
      </c>
      <c r="R140" s="352" t="s">
        <v>93</v>
      </c>
      <c r="S140" s="352">
        <v>1</v>
      </c>
    </row>
    <row r="141" spans="1:19" ht="30" customHeight="1" x14ac:dyDescent="0.35">
      <c r="A141" s="328">
        <v>135</v>
      </c>
      <c r="B141" s="322" t="s">
        <v>274</v>
      </c>
      <c r="C141" s="322" t="s">
        <v>263</v>
      </c>
      <c r="D141" s="322" t="s">
        <v>359</v>
      </c>
      <c r="E141" s="322" t="s">
        <v>34</v>
      </c>
      <c r="F141" s="322" t="s">
        <v>148</v>
      </c>
      <c r="G141" s="343">
        <f t="shared" si="26"/>
        <v>79.56</v>
      </c>
      <c r="H141" s="343">
        <f t="shared" si="26"/>
        <v>4.0975000000000001</v>
      </c>
      <c r="I141" s="343">
        <f t="shared" si="27"/>
        <v>81.417500000000004</v>
      </c>
      <c r="J141" s="343">
        <f t="shared" si="20"/>
        <v>876</v>
      </c>
      <c r="K141" s="343">
        <f t="shared" si="27"/>
        <v>94.337500000000006</v>
      </c>
      <c r="L141" s="324">
        <f t="shared" si="24"/>
        <v>0</v>
      </c>
      <c r="M141" s="343">
        <v>0</v>
      </c>
      <c r="N141" s="343">
        <f t="shared" si="21"/>
        <v>40.097100000000012</v>
      </c>
      <c r="O141" s="324">
        <f t="shared" si="25"/>
        <v>123.75460000000001</v>
      </c>
      <c r="P141" s="324">
        <f t="shared" si="22"/>
        <v>1332</v>
      </c>
      <c r="Q141" s="324">
        <f t="shared" si="23"/>
        <v>49.860833721781418</v>
      </c>
      <c r="R141" s="352" t="s">
        <v>93</v>
      </c>
      <c r="S141" s="352">
        <v>1</v>
      </c>
    </row>
    <row r="142" spans="1:19" ht="30" customHeight="1" x14ac:dyDescent="0.35">
      <c r="A142" s="395" t="s">
        <v>388</v>
      </c>
      <c r="B142" s="396"/>
      <c r="C142" s="396"/>
      <c r="D142" s="396"/>
      <c r="E142" s="396"/>
      <c r="F142" s="397"/>
      <c r="G142" s="341">
        <f t="shared" ref="G142:S142" si="28">SUM(G57:G141)</f>
        <v>6624.6000000000049</v>
      </c>
      <c r="H142" s="341">
        <f t="shared" si="28"/>
        <v>383.92500000000001</v>
      </c>
      <c r="I142" s="341">
        <f t="shared" si="28"/>
        <v>6819.5249999999951</v>
      </c>
      <c r="J142" s="341">
        <f t="shared" si="28"/>
        <v>73400</v>
      </c>
      <c r="K142" s="341">
        <f t="shared" si="28"/>
        <v>7867.2250000000013</v>
      </c>
      <c r="L142" s="341">
        <f t="shared" si="28"/>
        <v>72.64</v>
      </c>
      <c r="M142" s="341">
        <f t="shared" si="28"/>
        <v>145.28</v>
      </c>
      <c r="N142" s="341">
        <f t="shared" si="28"/>
        <v>3357.1530000000007</v>
      </c>
      <c r="O142" s="341">
        <f t="shared" si="28"/>
        <v>10438.318000000001</v>
      </c>
      <c r="P142" s="341">
        <f t="shared" si="28"/>
        <v>112367</v>
      </c>
      <c r="Q142" s="341">
        <f t="shared" si="28"/>
        <v>4205.6072108275403</v>
      </c>
      <c r="R142" s="342">
        <f t="shared" si="28"/>
        <v>20</v>
      </c>
      <c r="S142" s="342">
        <f t="shared" si="28"/>
        <v>60</v>
      </c>
    </row>
    <row r="143" spans="1:19" ht="30" customHeight="1" x14ac:dyDescent="0.35">
      <c r="A143" s="312"/>
      <c r="B143" s="312"/>
      <c r="C143" s="312"/>
      <c r="D143" s="312"/>
      <c r="E143" s="312"/>
      <c r="F143" s="312"/>
      <c r="G143" s="313"/>
      <c r="H143" s="313"/>
      <c r="I143" s="313"/>
      <c r="J143" s="313"/>
      <c r="K143" s="313"/>
      <c r="L143" s="313"/>
      <c r="M143" s="313"/>
      <c r="N143" s="313"/>
      <c r="O143" s="313"/>
      <c r="P143" s="313"/>
      <c r="Q143" s="313"/>
      <c r="R143" s="313"/>
      <c r="S143" s="313"/>
    </row>
    <row r="144" spans="1:19" ht="30" customHeight="1" x14ac:dyDescent="0.35">
      <c r="A144" s="312"/>
      <c r="B144" s="312"/>
      <c r="C144" s="312"/>
      <c r="D144" s="312"/>
      <c r="E144" s="312"/>
      <c r="F144" s="312"/>
      <c r="G144" s="313"/>
      <c r="H144" s="313"/>
      <c r="I144" s="313"/>
      <c r="J144" s="313"/>
      <c r="K144" s="313"/>
      <c r="L144" s="313"/>
      <c r="M144" s="313"/>
      <c r="N144" s="313"/>
      <c r="O144" s="313"/>
      <c r="P144" s="313"/>
      <c r="Q144" s="313"/>
      <c r="R144" s="313"/>
      <c r="S144" s="313"/>
    </row>
    <row r="145" spans="1:19" ht="30" customHeight="1" x14ac:dyDescent="0.35">
      <c r="A145" s="406" t="s">
        <v>389</v>
      </c>
      <c r="B145" s="406"/>
      <c r="C145" s="406"/>
      <c r="D145" s="406"/>
      <c r="E145" s="406"/>
      <c r="F145" s="406"/>
      <c r="G145" s="406"/>
      <c r="H145" s="406"/>
      <c r="I145" s="406"/>
      <c r="J145" s="406"/>
      <c r="K145" s="406"/>
      <c r="L145" s="406"/>
      <c r="M145" s="406"/>
      <c r="N145" s="406"/>
      <c r="O145" s="406"/>
      <c r="P145" s="406"/>
      <c r="Q145" s="406"/>
      <c r="R145" s="406"/>
      <c r="S145" s="406"/>
    </row>
    <row r="146" spans="1:19" ht="72" x14ac:dyDescent="0.35">
      <c r="A146" s="407" t="s">
        <v>390</v>
      </c>
      <c r="B146" s="407"/>
      <c r="C146" s="407"/>
      <c r="D146" s="407"/>
      <c r="E146" s="407"/>
      <c r="F146" s="407"/>
      <c r="G146" s="318" t="s">
        <v>25</v>
      </c>
      <c r="H146" s="318" t="s">
        <v>208</v>
      </c>
      <c r="I146" s="318" t="s">
        <v>98</v>
      </c>
      <c r="J146" s="318" t="s">
        <v>98</v>
      </c>
      <c r="K146" s="318" t="s">
        <v>210</v>
      </c>
      <c r="L146" s="318" t="s">
        <v>209</v>
      </c>
      <c r="M146" s="318" t="s">
        <v>384</v>
      </c>
      <c r="N146" s="318" t="s">
        <v>27</v>
      </c>
      <c r="O146" s="319" t="s">
        <v>211</v>
      </c>
      <c r="P146" s="319" t="s">
        <v>211</v>
      </c>
      <c r="Q146" s="319" t="s">
        <v>212</v>
      </c>
      <c r="R146" s="398" t="s">
        <v>213</v>
      </c>
      <c r="S146" s="398"/>
    </row>
    <row r="147" spans="1:19" ht="30" customHeight="1" x14ac:dyDescent="0.35">
      <c r="A147" s="416" t="s">
        <v>216</v>
      </c>
      <c r="B147" s="417"/>
      <c r="C147" s="417"/>
      <c r="D147" s="417"/>
      <c r="E147" s="417"/>
      <c r="F147" s="417"/>
      <c r="G147" s="345">
        <f t="shared" ref="G147:S147" si="29">G55</f>
        <v>3630.0000000000009</v>
      </c>
      <c r="H147" s="345">
        <f t="shared" si="29"/>
        <v>210.24999999999997</v>
      </c>
      <c r="I147" s="345">
        <f t="shared" si="29"/>
        <v>3744.6000000000008</v>
      </c>
      <c r="J147" s="345">
        <f t="shared" si="29"/>
        <v>40300</v>
      </c>
      <c r="K147" s="345">
        <f t="shared" si="29"/>
        <v>4313.8500000000022</v>
      </c>
      <c r="L147" s="345">
        <f t="shared" si="29"/>
        <v>58.24</v>
      </c>
      <c r="M147" s="345">
        <f t="shared" si="29"/>
        <v>116.48</v>
      </c>
      <c r="N147" s="345">
        <f t="shared" si="29"/>
        <v>1851.5420000000008</v>
      </c>
      <c r="O147" s="345">
        <f t="shared" si="29"/>
        <v>5750.0319999999983</v>
      </c>
      <c r="P147" s="345">
        <f t="shared" si="29"/>
        <v>61892</v>
      </c>
      <c r="Q147" s="345">
        <f t="shared" si="29"/>
        <v>2316.6927891724608</v>
      </c>
      <c r="R147" s="346">
        <f t="shared" si="29"/>
        <v>9</v>
      </c>
      <c r="S147" s="349">
        <f t="shared" si="29"/>
        <v>33</v>
      </c>
    </row>
    <row r="148" spans="1:19" ht="30" customHeight="1" x14ac:dyDescent="0.35">
      <c r="A148" s="416" t="s">
        <v>274</v>
      </c>
      <c r="B148" s="417"/>
      <c r="C148" s="417"/>
      <c r="D148" s="417"/>
      <c r="E148" s="417"/>
      <c r="F148" s="417"/>
      <c r="G148" s="345">
        <f t="shared" ref="G148:S148" si="30">G142</f>
        <v>6624.6000000000049</v>
      </c>
      <c r="H148" s="345">
        <f t="shared" si="30"/>
        <v>383.92500000000001</v>
      </c>
      <c r="I148" s="345">
        <f t="shared" si="30"/>
        <v>6819.5249999999951</v>
      </c>
      <c r="J148" s="345">
        <f t="shared" si="30"/>
        <v>73400</v>
      </c>
      <c r="K148" s="345">
        <f t="shared" si="30"/>
        <v>7867.2250000000013</v>
      </c>
      <c r="L148" s="345">
        <f t="shared" si="30"/>
        <v>72.64</v>
      </c>
      <c r="M148" s="345">
        <f t="shared" si="30"/>
        <v>145.28</v>
      </c>
      <c r="N148" s="345">
        <f t="shared" si="30"/>
        <v>3357.1530000000007</v>
      </c>
      <c r="O148" s="345">
        <f t="shared" si="30"/>
        <v>10438.318000000001</v>
      </c>
      <c r="P148" s="345">
        <f t="shared" si="30"/>
        <v>112367</v>
      </c>
      <c r="Q148" s="345">
        <f t="shared" si="30"/>
        <v>4205.6072108275403</v>
      </c>
      <c r="R148" s="346">
        <f t="shared" si="30"/>
        <v>20</v>
      </c>
      <c r="S148" s="349">
        <f t="shared" si="30"/>
        <v>60</v>
      </c>
    </row>
    <row r="149" spans="1:19" ht="30" customHeight="1" x14ac:dyDescent="0.35">
      <c r="A149" s="411" t="s">
        <v>391</v>
      </c>
      <c r="B149" s="412"/>
      <c r="C149" s="412"/>
      <c r="D149" s="412"/>
      <c r="E149" s="412"/>
      <c r="F149" s="412"/>
      <c r="G149" s="345"/>
      <c r="H149" s="345"/>
      <c r="I149" s="345"/>
      <c r="J149" s="345"/>
      <c r="K149" s="345"/>
      <c r="L149" s="345"/>
      <c r="M149" s="345"/>
      <c r="N149" s="345"/>
      <c r="O149" s="345"/>
      <c r="P149" s="345"/>
      <c r="Q149" s="345"/>
      <c r="R149" s="346"/>
      <c r="S149" s="349">
        <v>3</v>
      </c>
    </row>
    <row r="150" spans="1:19" ht="30" customHeight="1" x14ac:dyDescent="0.35">
      <c r="A150" s="413" t="s">
        <v>138</v>
      </c>
      <c r="B150" s="414"/>
      <c r="C150" s="414"/>
      <c r="D150" s="414"/>
      <c r="E150" s="414"/>
      <c r="F150" s="415"/>
      <c r="G150" s="347">
        <f t="shared" ref="G150:Q150" si="31">SUM(G147:G148)</f>
        <v>10254.600000000006</v>
      </c>
      <c r="H150" s="347">
        <f t="shared" si="31"/>
        <v>594.17499999999995</v>
      </c>
      <c r="I150" s="347">
        <f t="shared" si="31"/>
        <v>10564.124999999996</v>
      </c>
      <c r="J150" s="347">
        <f t="shared" si="31"/>
        <v>113700</v>
      </c>
      <c r="K150" s="347">
        <f t="shared" si="31"/>
        <v>12181.075000000004</v>
      </c>
      <c r="L150" s="347">
        <f t="shared" si="31"/>
        <v>130.88</v>
      </c>
      <c r="M150" s="347">
        <f t="shared" si="31"/>
        <v>261.76</v>
      </c>
      <c r="N150" s="347">
        <f t="shared" si="31"/>
        <v>5208.6950000000015</v>
      </c>
      <c r="O150" s="347">
        <f t="shared" si="31"/>
        <v>16188.349999999999</v>
      </c>
      <c r="P150" s="347">
        <f t="shared" si="31"/>
        <v>174259</v>
      </c>
      <c r="Q150" s="347">
        <f t="shared" si="31"/>
        <v>6522.3000000000011</v>
      </c>
      <c r="R150" s="348">
        <f>SUM(R147:R149)</f>
        <v>29</v>
      </c>
      <c r="S150" s="348">
        <f>SUM(S147:U149)</f>
        <v>96</v>
      </c>
    </row>
    <row r="151" spans="1:19" ht="30" customHeight="1" x14ac:dyDescent="0.45">
      <c r="A151" s="290"/>
      <c r="B151" s="291"/>
      <c r="C151" s="290"/>
      <c r="D151" s="291"/>
      <c r="E151" s="291"/>
      <c r="F151" s="291"/>
      <c r="G151" s="291"/>
      <c r="H151" s="291"/>
      <c r="I151" s="291"/>
      <c r="J151" s="291"/>
      <c r="K151" s="291"/>
      <c r="L151" s="291"/>
      <c r="M151" s="291"/>
      <c r="N151" s="291"/>
      <c r="O151" s="291"/>
      <c r="P151" s="291"/>
      <c r="Q151" s="311"/>
      <c r="R151" s="291"/>
      <c r="S151" s="291"/>
    </row>
    <row r="152" spans="1:19" ht="30" customHeight="1" x14ac:dyDescent="0.45">
      <c r="A152" s="290"/>
      <c r="B152" s="291"/>
      <c r="C152" s="290"/>
      <c r="D152" s="291"/>
      <c r="E152" s="291"/>
      <c r="F152" s="291"/>
      <c r="G152" s="291"/>
      <c r="I152" s="291"/>
      <c r="J152" s="291"/>
      <c r="K152" s="291"/>
      <c r="L152" s="291"/>
      <c r="M152" s="291"/>
      <c r="N152" s="291"/>
      <c r="O152" s="291"/>
      <c r="P152" s="291"/>
      <c r="Q152" s="311"/>
      <c r="R152" s="291"/>
      <c r="S152" s="291"/>
    </row>
    <row r="153" spans="1:19" ht="30" customHeight="1" x14ac:dyDescent="0.45">
      <c r="A153" s="410" t="s">
        <v>392</v>
      </c>
      <c r="B153" s="410"/>
      <c r="C153" s="410"/>
      <c r="D153" s="410"/>
      <c r="E153" s="410"/>
      <c r="F153" s="410"/>
      <c r="G153" s="410"/>
      <c r="H153" s="340">
        <f>'Total consolidated'!E5</f>
        <v>6522.3</v>
      </c>
      <c r="I153" s="350"/>
      <c r="J153" s="350"/>
      <c r="K153" s="350"/>
      <c r="L153" s="351" t="s">
        <v>393</v>
      </c>
      <c r="M153" s="291"/>
      <c r="N153" s="291"/>
      <c r="O153" s="291"/>
      <c r="P153" s="291"/>
      <c r="Q153" s="311"/>
      <c r="R153" s="291"/>
      <c r="S153" s="291"/>
    </row>
    <row r="154" spans="1:19" ht="30" customHeight="1" x14ac:dyDescent="0.45">
      <c r="A154" s="410" t="s">
        <v>394</v>
      </c>
      <c r="B154" s="410"/>
      <c r="C154" s="410"/>
      <c r="D154" s="410"/>
      <c r="E154" s="410"/>
      <c r="F154" s="410"/>
      <c r="G154" s="410"/>
      <c r="H154" s="340">
        <f>H153</f>
        <v>6522.3</v>
      </c>
      <c r="I154" s="350"/>
      <c r="J154" s="350"/>
      <c r="K154" s="350"/>
      <c r="L154" s="351" t="s">
        <v>393</v>
      </c>
      <c r="M154" s="291"/>
      <c r="N154" s="291"/>
      <c r="O154" s="291"/>
      <c r="P154" s="291"/>
      <c r="Q154" s="311"/>
      <c r="R154" s="291"/>
      <c r="S154" s="291"/>
    </row>
    <row r="155" spans="1:19" ht="30" customHeight="1" x14ac:dyDescent="0.45">
      <c r="A155" s="290"/>
      <c r="B155" s="291"/>
      <c r="C155" s="290"/>
      <c r="D155" s="291"/>
      <c r="E155" s="291"/>
      <c r="F155" s="291"/>
      <c r="G155" s="291"/>
      <c r="H155" s="291"/>
      <c r="I155" s="291"/>
      <c r="J155" s="291"/>
      <c r="K155" s="291"/>
      <c r="L155" s="291"/>
      <c r="M155" s="291"/>
      <c r="N155" s="291"/>
      <c r="O155" s="291"/>
      <c r="P155" s="291"/>
      <c r="Q155" s="311"/>
      <c r="R155" s="291"/>
      <c r="S155" s="291"/>
    </row>
    <row r="156" spans="1:19" ht="18.5" x14ac:dyDescent="0.45">
      <c r="A156" s="290"/>
      <c r="B156" s="291"/>
      <c r="C156" s="290"/>
      <c r="D156" s="291"/>
      <c r="E156" s="291"/>
      <c r="F156" s="291"/>
      <c r="G156" s="291"/>
      <c r="H156" s="291"/>
      <c r="I156" s="291"/>
      <c r="J156" s="291"/>
      <c r="K156" s="291"/>
      <c r="L156" s="291"/>
      <c r="M156" s="291"/>
      <c r="N156" s="291"/>
      <c r="O156" s="291"/>
      <c r="P156" s="291"/>
      <c r="Q156" s="311"/>
      <c r="R156" s="291"/>
      <c r="S156" s="291"/>
    </row>
    <row r="157" spans="1:19" ht="18.5" x14ac:dyDescent="0.45">
      <c r="A157" s="290"/>
      <c r="B157" s="291"/>
      <c r="C157" s="290"/>
      <c r="D157" s="291"/>
      <c r="E157" s="291"/>
      <c r="F157" s="291"/>
      <c r="G157" s="291"/>
      <c r="H157" s="291"/>
      <c r="I157" s="291"/>
      <c r="J157" s="291"/>
      <c r="K157" s="291"/>
      <c r="L157" s="291"/>
      <c r="M157" s="291"/>
      <c r="N157" s="291"/>
      <c r="O157" s="291"/>
      <c r="P157" s="291"/>
      <c r="Q157" s="311"/>
      <c r="R157" s="291"/>
      <c r="S157" s="291"/>
    </row>
    <row r="158" spans="1:19" ht="18.5" x14ac:dyDescent="0.45">
      <c r="A158" s="290"/>
      <c r="B158" s="291"/>
      <c r="C158" s="290"/>
      <c r="D158" s="291"/>
      <c r="E158" s="291"/>
      <c r="F158" s="291"/>
      <c r="G158" s="291"/>
      <c r="H158" s="291"/>
      <c r="I158" s="291"/>
      <c r="J158" s="291"/>
      <c r="K158" s="291"/>
      <c r="L158" s="291"/>
      <c r="M158" s="291"/>
      <c r="N158" s="291"/>
      <c r="O158" s="291"/>
      <c r="P158" s="291"/>
      <c r="Q158" s="311"/>
      <c r="R158" s="291"/>
      <c r="S158" s="291"/>
    </row>
    <row r="159" spans="1:19" ht="18.5" x14ac:dyDescent="0.45">
      <c r="A159" s="290"/>
      <c r="B159" s="291"/>
      <c r="C159" s="290"/>
      <c r="D159" s="291"/>
      <c r="E159" s="291"/>
      <c r="F159" s="291"/>
      <c r="G159" s="291"/>
      <c r="H159" s="291"/>
      <c r="I159" s="291"/>
      <c r="J159" s="291"/>
      <c r="K159" s="291"/>
      <c r="L159" s="291"/>
      <c r="M159" s="291"/>
      <c r="N159" s="291"/>
      <c r="O159" s="291"/>
      <c r="P159" s="291"/>
      <c r="Q159" s="311"/>
      <c r="R159" s="291"/>
      <c r="S159" s="291"/>
    </row>
    <row r="160" spans="1:19" ht="18.5" x14ac:dyDescent="0.45">
      <c r="A160" s="290"/>
      <c r="B160" s="291"/>
      <c r="C160" s="290"/>
      <c r="D160" s="291"/>
      <c r="E160" s="291"/>
      <c r="F160" s="291"/>
      <c r="G160" s="291"/>
      <c r="H160" s="291"/>
      <c r="I160" s="291"/>
      <c r="J160" s="291"/>
      <c r="K160" s="291"/>
      <c r="L160" s="291"/>
      <c r="M160" s="291"/>
      <c r="N160" s="291"/>
      <c r="O160" s="291"/>
      <c r="P160" s="291"/>
      <c r="Q160" s="311"/>
      <c r="R160" s="291"/>
      <c r="S160" s="291"/>
    </row>
    <row r="161" spans="1:19" ht="18.5" x14ac:dyDescent="0.45">
      <c r="A161" s="290"/>
      <c r="B161" s="291"/>
      <c r="C161" s="290"/>
      <c r="D161" s="291"/>
      <c r="E161" s="291"/>
      <c r="F161" s="291"/>
      <c r="G161" s="291"/>
      <c r="H161" s="291"/>
      <c r="I161" s="291"/>
      <c r="J161" s="291"/>
      <c r="K161" s="291"/>
      <c r="L161" s="291"/>
      <c r="M161" s="291"/>
      <c r="N161" s="291"/>
      <c r="O161" s="291"/>
      <c r="P161" s="291"/>
      <c r="Q161" s="311"/>
      <c r="R161" s="291"/>
      <c r="S161" s="291"/>
    </row>
    <row r="162" spans="1:19" ht="18.5" x14ac:dyDescent="0.45">
      <c r="A162" s="290"/>
      <c r="B162" s="291"/>
      <c r="C162" s="290"/>
      <c r="D162" s="291"/>
      <c r="E162" s="291"/>
      <c r="F162" s="291"/>
      <c r="G162" s="291"/>
      <c r="H162" s="291"/>
      <c r="I162" s="291"/>
      <c r="J162" s="291"/>
      <c r="K162" s="291"/>
      <c r="L162" s="291"/>
      <c r="M162" s="291"/>
      <c r="N162" s="291"/>
      <c r="O162" s="291"/>
      <c r="P162" s="291"/>
      <c r="Q162" s="311"/>
      <c r="R162" s="291"/>
      <c r="S162" s="291"/>
    </row>
    <row r="163" spans="1:19" ht="18.5" x14ac:dyDescent="0.45">
      <c r="A163" s="290"/>
      <c r="B163" s="291"/>
      <c r="C163" s="290"/>
      <c r="D163" s="291"/>
      <c r="E163" s="291"/>
      <c r="F163" s="291"/>
      <c r="G163" s="291"/>
      <c r="H163" s="291"/>
      <c r="I163" s="291"/>
      <c r="J163" s="291"/>
      <c r="K163" s="291"/>
      <c r="L163" s="291"/>
      <c r="M163" s="291"/>
      <c r="N163" s="291"/>
      <c r="O163" s="291"/>
      <c r="P163" s="291"/>
      <c r="Q163" s="311"/>
      <c r="R163" s="291"/>
      <c r="S163" s="291"/>
    </row>
    <row r="164" spans="1:19" ht="18.5" x14ac:dyDescent="0.45">
      <c r="A164" s="290"/>
      <c r="B164" s="291"/>
      <c r="C164" s="290"/>
      <c r="D164" s="291"/>
      <c r="E164" s="291"/>
      <c r="F164" s="291"/>
      <c r="G164" s="291"/>
      <c r="H164" s="291"/>
      <c r="I164" s="291"/>
      <c r="J164" s="291"/>
      <c r="K164" s="291"/>
      <c r="L164" s="291"/>
      <c r="M164" s="291"/>
      <c r="N164" s="291"/>
      <c r="O164" s="291"/>
      <c r="P164" s="291"/>
      <c r="Q164" s="311"/>
      <c r="R164" s="291"/>
      <c r="S164" s="291"/>
    </row>
    <row r="165" spans="1:19" ht="18.5" x14ac:dyDescent="0.45">
      <c r="A165" s="290"/>
      <c r="B165" s="291"/>
      <c r="C165" s="290"/>
      <c r="D165" s="291"/>
      <c r="E165" s="291"/>
      <c r="F165" s="291"/>
      <c r="G165" s="291"/>
      <c r="H165" s="291"/>
      <c r="I165" s="291"/>
      <c r="J165" s="291"/>
      <c r="K165" s="291"/>
      <c r="L165" s="291"/>
      <c r="M165" s="291"/>
      <c r="N165" s="291"/>
      <c r="O165" s="291"/>
      <c r="P165" s="291"/>
      <c r="Q165" s="311"/>
      <c r="R165" s="291"/>
      <c r="S165" s="291"/>
    </row>
    <row r="166" spans="1:19" ht="18.5" x14ac:dyDescent="0.45">
      <c r="A166" s="290"/>
      <c r="B166" s="291"/>
      <c r="C166" s="290"/>
      <c r="D166" s="291"/>
      <c r="E166" s="291"/>
      <c r="F166" s="291"/>
      <c r="G166" s="291"/>
      <c r="H166" s="291"/>
      <c r="I166" s="291"/>
      <c r="J166" s="291"/>
      <c r="K166" s="291"/>
      <c r="L166" s="291"/>
      <c r="M166" s="291"/>
      <c r="N166" s="291"/>
      <c r="O166" s="291"/>
      <c r="P166" s="291"/>
      <c r="Q166" s="311"/>
      <c r="R166" s="291"/>
      <c r="S166" s="291"/>
    </row>
    <row r="167" spans="1:19" ht="18.5" x14ac:dyDescent="0.45">
      <c r="A167" s="290"/>
      <c r="B167" s="291"/>
      <c r="C167" s="290"/>
      <c r="D167" s="291"/>
      <c r="E167" s="291"/>
      <c r="F167" s="291"/>
      <c r="G167" s="291"/>
      <c r="H167" s="291"/>
      <c r="I167" s="291"/>
      <c r="J167" s="291"/>
      <c r="K167" s="291"/>
      <c r="L167" s="291"/>
      <c r="M167" s="291"/>
      <c r="N167" s="291"/>
      <c r="O167" s="291"/>
      <c r="P167" s="291"/>
      <c r="Q167" s="311"/>
      <c r="R167" s="291"/>
      <c r="S167" s="291"/>
    </row>
    <row r="168" spans="1:19" ht="18.5" x14ac:dyDescent="0.45">
      <c r="A168" s="290"/>
      <c r="B168" s="291"/>
      <c r="C168" s="290"/>
      <c r="D168" s="291"/>
      <c r="E168" s="291"/>
      <c r="F168" s="291"/>
      <c r="G168" s="291"/>
      <c r="H168" s="291"/>
      <c r="I168" s="291"/>
      <c r="J168" s="291"/>
      <c r="K168" s="291"/>
      <c r="L168" s="291"/>
      <c r="M168" s="291"/>
      <c r="N168" s="291"/>
      <c r="O168" s="291"/>
      <c r="P168" s="291"/>
      <c r="Q168" s="311"/>
      <c r="R168" s="291"/>
      <c r="S168" s="291"/>
    </row>
    <row r="169" spans="1:19" ht="18.5" x14ac:dyDescent="0.45">
      <c r="A169" s="290"/>
      <c r="B169" s="291"/>
      <c r="C169" s="290"/>
      <c r="D169" s="291"/>
      <c r="E169" s="291"/>
      <c r="F169" s="291"/>
      <c r="G169" s="291"/>
      <c r="H169" s="291"/>
      <c r="I169" s="291"/>
      <c r="J169" s="291"/>
      <c r="K169" s="291"/>
      <c r="L169" s="291"/>
      <c r="M169" s="291"/>
      <c r="N169" s="291"/>
      <c r="O169" s="291"/>
      <c r="P169" s="291"/>
      <c r="Q169" s="311"/>
      <c r="R169" s="291"/>
      <c r="S169" s="291"/>
    </row>
    <row r="170" spans="1:19" ht="18.5" x14ac:dyDescent="0.45">
      <c r="A170" s="290"/>
      <c r="B170" s="291"/>
      <c r="C170" s="290"/>
      <c r="D170" s="291"/>
      <c r="E170" s="291"/>
      <c r="F170" s="291"/>
      <c r="G170" s="291"/>
      <c r="H170" s="291"/>
      <c r="I170" s="291"/>
      <c r="J170" s="291"/>
      <c r="K170" s="291"/>
      <c r="L170" s="291"/>
      <c r="M170" s="291"/>
      <c r="N170" s="291"/>
      <c r="O170" s="291"/>
      <c r="P170" s="291"/>
      <c r="Q170" s="311"/>
      <c r="R170" s="291"/>
      <c r="S170" s="291"/>
    </row>
    <row r="171" spans="1:19" ht="18.5" x14ac:dyDescent="0.45">
      <c r="A171" s="290"/>
      <c r="B171" s="291"/>
      <c r="C171" s="290"/>
      <c r="D171" s="291"/>
      <c r="E171" s="291"/>
      <c r="F171" s="291"/>
      <c r="G171" s="291"/>
      <c r="H171" s="291"/>
      <c r="I171" s="291"/>
      <c r="J171" s="291"/>
      <c r="K171" s="291"/>
      <c r="L171" s="291"/>
      <c r="M171" s="291"/>
      <c r="N171" s="291"/>
      <c r="O171" s="291"/>
      <c r="P171" s="291"/>
      <c r="Q171" s="311"/>
      <c r="R171" s="291"/>
      <c r="S171" s="291"/>
    </row>
    <row r="172" spans="1:19" ht="18.5" x14ac:dyDescent="0.45">
      <c r="A172" s="290"/>
      <c r="B172" s="291"/>
      <c r="C172" s="290"/>
      <c r="D172" s="291"/>
      <c r="E172" s="291"/>
      <c r="F172" s="291"/>
      <c r="G172" s="291"/>
      <c r="H172" s="291"/>
      <c r="I172" s="291"/>
      <c r="J172" s="291"/>
      <c r="K172" s="291"/>
      <c r="L172" s="291"/>
      <c r="M172" s="291"/>
      <c r="N172" s="291"/>
      <c r="O172" s="291"/>
      <c r="P172" s="291"/>
      <c r="Q172" s="311"/>
      <c r="R172" s="291"/>
      <c r="S172" s="291"/>
    </row>
    <row r="173" spans="1:19" ht="18.5" x14ac:dyDescent="0.45">
      <c r="A173" s="290"/>
      <c r="B173" s="291"/>
      <c r="C173" s="290"/>
      <c r="D173" s="291"/>
      <c r="E173" s="291"/>
      <c r="F173" s="291"/>
      <c r="G173" s="291"/>
      <c r="H173" s="291"/>
      <c r="I173" s="291"/>
      <c r="J173" s="291"/>
      <c r="K173" s="291"/>
      <c r="L173" s="291"/>
      <c r="M173" s="291"/>
      <c r="N173" s="291"/>
      <c r="O173" s="291"/>
      <c r="P173" s="291"/>
      <c r="Q173" s="311"/>
      <c r="R173" s="291"/>
      <c r="S173" s="291"/>
    </row>
    <row r="174" spans="1:19" ht="18.5" x14ac:dyDescent="0.45">
      <c r="A174" s="290"/>
      <c r="B174" s="291"/>
      <c r="C174" s="290"/>
      <c r="D174" s="291"/>
      <c r="E174" s="291"/>
      <c r="F174" s="291"/>
      <c r="G174" s="291"/>
      <c r="H174" s="291"/>
      <c r="I174" s="291"/>
      <c r="J174" s="291"/>
      <c r="K174" s="291"/>
      <c r="L174" s="291"/>
      <c r="M174" s="291"/>
      <c r="N174" s="291"/>
      <c r="O174" s="291"/>
      <c r="P174" s="291"/>
      <c r="Q174" s="311"/>
      <c r="R174" s="291"/>
      <c r="S174" s="291"/>
    </row>
    <row r="175" spans="1:19" ht="18.5" x14ac:dyDescent="0.45">
      <c r="A175" s="290"/>
      <c r="B175" s="291"/>
      <c r="C175" s="290"/>
      <c r="D175" s="291"/>
      <c r="E175" s="291"/>
      <c r="F175" s="291"/>
      <c r="G175" s="291"/>
      <c r="H175" s="291"/>
      <c r="I175" s="291"/>
      <c r="J175" s="291"/>
      <c r="K175" s="291"/>
      <c r="L175" s="291"/>
      <c r="M175" s="291"/>
      <c r="N175" s="291"/>
      <c r="O175" s="291"/>
      <c r="P175" s="291"/>
      <c r="Q175" s="311"/>
      <c r="R175" s="291"/>
      <c r="S175" s="291"/>
    </row>
    <row r="176" spans="1:19" ht="18.5" x14ac:dyDescent="0.45">
      <c r="A176" s="290"/>
      <c r="B176" s="291"/>
      <c r="C176" s="290"/>
      <c r="D176" s="291"/>
      <c r="E176" s="291"/>
      <c r="F176" s="291"/>
      <c r="G176" s="291"/>
      <c r="H176" s="291"/>
      <c r="I176" s="291"/>
      <c r="J176" s="291"/>
      <c r="K176" s="291"/>
      <c r="L176" s="291"/>
      <c r="M176" s="291"/>
      <c r="N176" s="291"/>
      <c r="O176" s="291"/>
      <c r="P176" s="291"/>
      <c r="Q176" s="311"/>
      <c r="R176" s="291"/>
      <c r="S176" s="291"/>
    </row>
    <row r="177" spans="1:19" ht="18.5" x14ac:dyDescent="0.45">
      <c r="A177" s="290"/>
      <c r="B177" s="291"/>
      <c r="C177" s="290"/>
      <c r="D177" s="291"/>
      <c r="E177" s="291"/>
      <c r="F177" s="291"/>
      <c r="G177" s="291"/>
      <c r="H177" s="291"/>
      <c r="I177" s="291"/>
      <c r="J177" s="291"/>
      <c r="K177" s="291"/>
      <c r="L177" s="291"/>
      <c r="M177" s="291"/>
      <c r="N177" s="291"/>
      <c r="O177" s="291"/>
      <c r="P177" s="291"/>
      <c r="Q177" s="311"/>
      <c r="R177" s="291"/>
      <c r="S177" s="291"/>
    </row>
    <row r="178" spans="1:19" ht="18.5" x14ac:dyDescent="0.45">
      <c r="A178" s="290"/>
      <c r="B178" s="291"/>
      <c r="C178" s="290"/>
      <c r="D178" s="291"/>
      <c r="E178" s="291"/>
      <c r="F178" s="291"/>
      <c r="G178" s="291"/>
      <c r="H178" s="291"/>
      <c r="I178" s="291"/>
      <c r="J178" s="291"/>
      <c r="K178" s="291"/>
      <c r="L178" s="291"/>
      <c r="M178" s="291"/>
      <c r="N178" s="291"/>
      <c r="O178" s="291"/>
      <c r="P178" s="291"/>
      <c r="Q178" s="311"/>
      <c r="R178" s="291"/>
      <c r="S178" s="291"/>
    </row>
    <row r="179" spans="1:19" ht="18.5" x14ac:dyDescent="0.45">
      <c r="A179" s="290"/>
      <c r="B179" s="291"/>
      <c r="C179" s="290"/>
      <c r="D179" s="291"/>
      <c r="E179" s="291"/>
      <c r="F179" s="291"/>
      <c r="G179" s="291"/>
      <c r="H179" s="291"/>
      <c r="I179" s="291"/>
      <c r="J179" s="291"/>
      <c r="K179" s="291"/>
      <c r="L179" s="291"/>
      <c r="M179" s="291"/>
      <c r="N179" s="291"/>
      <c r="O179" s="291"/>
      <c r="P179" s="291"/>
      <c r="Q179" s="311"/>
      <c r="R179" s="291"/>
      <c r="S179" s="291"/>
    </row>
    <row r="180" spans="1:19" ht="18.5" x14ac:dyDescent="0.45">
      <c r="A180" s="290"/>
      <c r="B180" s="291"/>
      <c r="C180" s="290"/>
      <c r="D180" s="291"/>
      <c r="E180" s="291"/>
      <c r="F180" s="291"/>
      <c r="G180" s="291"/>
      <c r="H180" s="291"/>
      <c r="I180" s="291"/>
      <c r="J180" s="291"/>
      <c r="K180" s="291"/>
      <c r="L180" s="291"/>
      <c r="M180" s="291"/>
      <c r="N180" s="291"/>
      <c r="O180" s="291"/>
      <c r="P180" s="291"/>
      <c r="Q180" s="311"/>
      <c r="R180" s="291"/>
      <c r="S180" s="291"/>
    </row>
    <row r="181" spans="1:19" ht="18.5" x14ac:dyDescent="0.45">
      <c r="A181" s="290"/>
      <c r="B181" s="291"/>
      <c r="C181" s="290"/>
      <c r="D181" s="291"/>
      <c r="E181" s="291"/>
      <c r="F181" s="291"/>
      <c r="G181" s="291"/>
      <c r="H181" s="291"/>
      <c r="I181" s="291"/>
      <c r="J181" s="291"/>
      <c r="K181" s="291"/>
      <c r="L181" s="291"/>
      <c r="M181" s="291"/>
      <c r="N181" s="291"/>
      <c r="O181" s="291"/>
      <c r="P181" s="291"/>
      <c r="Q181" s="311"/>
      <c r="R181" s="291"/>
      <c r="S181" s="291"/>
    </row>
    <row r="182" spans="1:19" ht="18.5" x14ac:dyDescent="0.45">
      <c r="A182" s="290"/>
      <c r="B182" s="291"/>
      <c r="C182" s="290"/>
      <c r="D182" s="291"/>
      <c r="E182" s="291"/>
      <c r="F182" s="291"/>
      <c r="G182" s="291"/>
      <c r="H182" s="291"/>
      <c r="I182" s="291"/>
      <c r="J182" s="291"/>
      <c r="K182" s="291"/>
      <c r="L182" s="291"/>
      <c r="M182" s="291"/>
      <c r="N182" s="291"/>
      <c r="O182" s="291"/>
      <c r="P182" s="291"/>
      <c r="Q182" s="311"/>
      <c r="R182" s="291"/>
      <c r="S182" s="291"/>
    </row>
    <row r="183" spans="1:19" ht="18.5" x14ac:dyDescent="0.45">
      <c r="A183" s="290"/>
      <c r="B183" s="291"/>
      <c r="C183" s="290"/>
      <c r="D183" s="291"/>
      <c r="E183" s="291"/>
      <c r="F183" s="291"/>
      <c r="G183" s="291"/>
      <c r="H183" s="291"/>
      <c r="I183" s="291"/>
      <c r="J183" s="291"/>
      <c r="K183" s="291"/>
      <c r="L183" s="291"/>
      <c r="M183" s="291"/>
      <c r="N183" s="291"/>
      <c r="O183" s="291"/>
      <c r="P183" s="291"/>
      <c r="Q183" s="311"/>
      <c r="R183" s="291"/>
      <c r="S183" s="291"/>
    </row>
    <row r="184" spans="1:19" ht="18.5" x14ac:dyDescent="0.45">
      <c r="A184" s="290"/>
      <c r="B184" s="291"/>
      <c r="C184" s="290"/>
      <c r="D184" s="291"/>
      <c r="E184" s="291"/>
      <c r="F184" s="291"/>
      <c r="G184" s="291"/>
      <c r="H184" s="291"/>
      <c r="I184" s="291"/>
      <c r="J184" s="291"/>
      <c r="K184" s="291"/>
      <c r="L184" s="291"/>
      <c r="M184" s="291"/>
      <c r="N184" s="291"/>
      <c r="O184" s="291"/>
      <c r="P184" s="291"/>
      <c r="Q184" s="311"/>
      <c r="R184" s="291"/>
      <c r="S184" s="291"/>
    </row>
    <row r="185" spans="1:19" ht="18.5" x14ac:dyDescent="0.45">
      <c r="A185" s="290"/>
      <c r="B185" s="291"/>
      <c r="C185" s="290"/>
      <c r="D185" s="291"/>
      <c r="E185" s="291"/>
      <c r="F185" s="291"/>
      <c r="G185" s="291"/>
      <c r="H185" s="291"/>
      <c r="I185" s="291"/>
      <c r="J185" s="291"/>
      <c r="K185" s="291"/>
      <c r="L185" s="291"/>
      <c r="M185" s="291"/>
      <c r="N185" s="291"/>
      <c r="O185" s="291"/>
      <c r="P185" s="291"/>
      <c r="Q185" s="311"/>
      <c r="R185" s="291"/>
      <c r="S185" s="291"/>
    </row>
    <row r="186" spans="1:19" ht="18.5" x14ac:dyDescent="0.45">
      <c r="A186" s="290"/>
      <c r="B186" s="291"/>
      <c r="C186" s="290"/>
      <c r="D186" s="291"/>
      <c r="E186" s="291"/>
      <c r="F186" s="291"/>
      <c r="G186" s="291"/>
      <c r="H186" s="291"/>
      <c r="I186" s="291"/>
      <c r="J186" s="291"/>
      <c r="K186" s="291"/>
      <c r="L186" s="291"/>
      <c r="M186" s="291"/>
      <c r="N186" s="291"/>
      <c r="O186" s="291"/>
      <c r="P186" s="291"/>
      <c r="Q186" s="311"/>
      <c r="R186" s="291"/>
      <c r="S186" s="291"/>
    </row>
    <row r="187" spans="1:19" ht="18.5" x14ac:dyDescent="0.45">
      <c r="A187" s="290"/>
      <c r="B187" s="291"/>
      <c r="C187" s="290"/>
      <c r="D187" s="291"/>
      <c r="E187" s="291"/>
      <c r="F187" s="291"/>
      <c r="G187" s="291"/>
      <c r="H187" s="291"/>
      <c r="I187" s="291"/>
      <c r="J187" s="291"/>
      <c r="K187" s="291"/>
      <c r="L187" s="291"/>
      <c r="M187" s="291"/>
      <c r="N187" s="291"/>
      <c r="O187" s="291"/>
      <c r="P187" s="291"/>
      <c r="Q187" s="311"/>
      <c r="R187" s="291"/>
      <c r="S187" s="291"/>
    </row>
    <row r="188" spans="1:19" ht="18.5" x14ac:dyDescent="0.45">
      <c r="A188" s="290"/>
      <c r="B188" s="291"/>
      <c r="C188" s="290"/>
      <c r="D188" s="291"/>
      <c r="E188" s="291"/>
      <c r="F188" s="291"/>
      <c r="G188" s="291"/>
      <c r="H188" s="291"/>
      <c r="I188" s="291"/>
      <c r="J188" s="291"/>
      <c r="K188" s="291"/>
      <c r="L188" s="291"/>
      <c r="M188" s="291"/>
      <c r="N188" s="291"/>
      <c r="O188" s="291"/>
      <c r="P188" s="291"/>
      <c r="Q188" s="311"/>
      <c r="R188" s="291"/>
      <c r="S188" s="291"/>
    </row>
    <row r="189" spans="1:19" ht="18.5" x14ac:dyDescent="0.45">
      <c r="A189" s="290"/>
      <c r="B189" s="291"/>
      <c r="C189" s="290"/>
      <c r="D189" s="291"/>
      <c r="E189" s="291"/>
      <c r="F189" s="291"/>
      <c r="G189" s="291"/>
      <c r="H189" s="291"/>
      <c r="I189" s="291"/>
      <c r="J189" s="291"/>
      <c r="K189" s="291"/>
      <c r="L189" s="291"/>
      <c r="M189" s="291"/>
      <c r="N189" s="291"/>
      <c r="O189" s="291"/>
      <c r="P189" s="291"/>
      <c r="Q189" s="311"/>
      <c r="R189" s="291"/>
      <c r="S189" s="291"/>
    </row>
    <row r="190" spans="1:19" ht="18.5" x14ac:dyDescent="0.45">
      <c r="A190" s="290"/>
      <c r="B190" s="291"/>
      <c r="C190" s="290"/>
      <c r="D190" s="291"/>
      <c r="E190" s="291"/>
      <c r="F190" s="291"/>
      <c r="G190" s="291"/>
      <c r="H190" s="291"/>
      <c r="I190" s="291"/>
      <c r="J190" s="291"/>
      <c r="K190" s="291"/>
      <c r="L190" s="291"/>
      <c r="M190" s="291"/>
      <c r="N190" s="291"/>
      <c r="O190" s="291"/>
      <c r="P190" s="291"/>
      <c r="Q190" s="311"/>
      <c r="R190" s="291"/>
      <c r="S190" s="291"/>
    </row>
    <row r="191" spans="1:19" ht="18.5" x14ac:dyDescent="0.45">
      <c r="A191" s="290"/>
      <c r="B191" s="291"/>
      <c r="C191" s="290"/>
      <c r="D191" s="291"/>
      <c r="E191" s="291"/>
      <c r="F191" s="291"/>
      <c r="G191" s="291"/>
      <c r="H191" s="291"/>
      <c r="I191" s="291"/>
      <c r="J191" s="291"/>
      <c r="K191" s="291"/>
      <c r="L191" s="291"/>
      <c r="M191" s="291"/>
      <c r="N191" s="291"/>
      <c r="O191" s="291"/>
      <c r="P191" s="291"/>
      <c r="Q191" s="311"/>
      <c r="R191" s="291"/>
      <c r="S191" s="291"/>
    </row>
    <row r="192" spans="1:19" ht="18.5" x14ac:dyDescent="0.45">
      <c r="A192" s="290"/>
      <c r="B192" s="291"/>
      <c r="C192" s="290"/>
      <c r="D192" s="291"/>
      <c r="E192" s="291"/>
      <c r="F192" s="291"/>
      <c r="G192" s="291"/>
      <c r="H192" s="291"/>
      <c r="I192" s="291"/>
      <c r="J192" s="291"/>
      <c r="K192" s="291"/>
      <c r="L192" s="291"/>
      <c r="M192" s="291"/>
      <c r="N192" s="291"/>
      <c r="O192" s="291"/>
      <c r="P192" s="291"/>
      <c r="Q192" s="311"/>
      <c r="R192" s="291"/>
      <c r="S192" s="291"/>
    </row>
    <row r="193" spans="1:19" ht="18.5" x14ac:dyDescent="0.45">
      <c r="A193" s="290"/>
      <c r="B193" s="291"/>
      <c r="C193" s="290"/>
      <c r="D193" s="291"/>
      <c r="E193" s="291"/>
      <c r="F193" s="291"/>
      <c r="G193" s="291"/>
      <c r="H193" s="291"/>
      <c r="I193" s="291"/>
      <c r="J193" s="291"/>
      <c r="K193" s="291"/>
      <c r="L193" s="291"/>
      <c r="M193" s="291"/>
      <c r="N193" s="291"/>
      <c r="O193" s="291"/>
      <c r="P193" s="291"/>
      <c r="Q193" s="311"/>
      <c r="R193" s="291"/>
      <c r="S193" s="291"/>
    </row>
    <row r="194" spans="1:19" ht="18.5" x14ac:dyDescent="0.45">
      <c r="A194" s="290"/>
      <c r="B194" s="291"/>
      <c r="C194" s="290"/>
      <c r="D194" s="291"/>
      <c r="E194" s="291"/>
      <c r="F194" s="291"/>
      <c r="G194" s="291"/>
      <c r="H194" s="291"/>
      <c r="I194" s="291"/>
      <c r="J194" s="291"/>
      <c r="K194" s="291"/>
      <c r="L194" s="291"/>
      <c r="M194" s="291"/>
      <c r="N194" s="291"/>
      <c r="O194" s="291"/>
      <c r="P194" s="291"/>
      <c r="Q194" s="311"/>
      <c r="R194" s="291"/>
      <c r="S194" s="291"/>
    </row>
    <row r="195" spans="1:19" ht="18.5" x14ac:dyDescent="0.45">
      <c r="A195" s="290"/>
      <c r="B195" s="291"/>
      <c r="C195" s="290"/>
      <c r="D195" s="291"/>
      <c r="E195" s="291"/>
      <c r="F195" s="291"/>
      <c r="G195" s="291"/>
      <c r="H195" s="291"/>
      <c r="I195" s="291"/>
      <c r="J195" s="291"/>
      <c r="K195" s="291"/>
      <c r="L195" s="291"/>
      <c r="M195" s="291"/>
      <c r="N195" s="291"/>
      <c r="O195" s="291"/>
      <c r="P195" s="291"/>
      <c r="Q195" s="311"/>
      <c r="R195" s="291"/>
      <c r="S195" s="291"/>
    </row>
    <row r="196" spans="1:19" ht="18.5" x14ac:dyDescent="0.45">
      <c r="A196" s="290"/>
      <c r="B196" s="291"/>
      <c r="C196" s="290"/>
      <c r="D196" s="291"/>
      <c r="E196" s="291"/>
      <c r="F196" s="291"/>
      <c r="G196" s="291"/>
      <c r="H196" s="291"/>
      <c r="I196" s="291"/>
      <c r="J196" s="291"/>
      <c r="K196" s="291"/>
      <c r="L196" s="291"/>
      <c r="M196" s="291"/>
      <c r="N196" s="291"/>
      <c r="O196" s="291"/>
      <c r="P196" s="291"/>
      <c r="Q196" s="311"/>
      <c r="R196" s="291"/>
      <c r="S196" s="291"/>
    </row>
    <row r="197" spans="1:19" ht="18.5" x14ac:dyDescent="0.45">
      <c r="A197" s="290"/>
      <c r="B197" s="291"/>
      <c r="C197" s="290"/>
      <c r="D197" s="291"/>
      <c r="E197" s="291"/>
      <c r="F197" s="291"/>
      <c r="G197" s="291"/>
      <c r="H197" s="291"/>
      <c r="I197" s="291"/>
      <c r="J197" s="291"/>
      <c r="K197" s="291"/>
      <c r="L197" s="291"/>
      <c r="M197" s="291"/>
      <c r="N197" s="291"/>
      <c r="O197" s="291"/>
      <c r="P197" s="291"/>
      <c r="Q197" s="311"/>
      <c r="R197" s="291"/>
      <c r="S197" s="291"/>
    </row>
    <row r="198" spans="1:19" ht="18.5" x14ac:dyDescent="0.45">
      <c r="A198" s="290"/>
      <c r="B198" s="291"/>
      <c r="C198" s="290"/>
      <c r="D198" s="291"/>
      <c r="E198" s="291"/>
      <c r="F198" s="291"/>
      <c r="G198" s="291"/>
      <c r="H198" s="291"/>
      <c r="I198" s="291"/>
      <c r="J198" s="291"/>
      <c r="K198" s="291"/>
      <c r="L198" s="291"/>
      <c r="M198" s="291"/>
      <c r="N198" s="291"/>
      <c r="O198" s="291"/>
      <c r="P198" s="291"/>
      <c r="Q198" s="311"/>
      <c r="R198" s="291"/>
      <c r="S198" s="291"/>
    </row>
    <row r="199" spans="1:19" ht="18.5" x14ac:dyDescent="0.45">
      <c r="A199" s="290"/>
      <c r="B199" s="291"/>
      <c r="C199" s="290"/>
      <c r="D199" s="291"/>
      <c r="E199" s="291"/>
      <c r="F199" s="291"/>
      <c r="G199" s="291"/>
      <c r="H199" s="291"/>
      <c r="I199" s="291"/>
      <c r="J199" s="291"/>
      <c r="K199" s="291"/>
      <c r="L199" s="291"/>
      <c r="M199" s="291"/>
      <c r="N199" s="291"/>
      <c r="O199" s="291"/>
      <c r="P199" s="291"/>
      <c r="Q199" s="311"/>
      <c r="R199" s="291"/>
      <c r="S199" s="291"/>
    </row>
    <row r="200" spans="1:19" ht="18.5" x14ac:dyDescent="0.45">
      <c r="A200" s="290"/>
      <c r="B200" s="291"/>
      <c r="C200" s="290"/>
      <c r="D200" s="291"/>
      <c r="E200" s="291"/>
      <c r="F200" s="291"/>
      <c r="G200" s="291"/>
      <c r="H200" s="291"/>
      <c r="I200" s="291"/>
      <c r="J200" s="291"/>
      <c r="K200" s="291"/>
      <c r="L200" s="291"/>
      <c r="M200" s="291"/>
      <c r="N200" s="291"/>
      <c r="O200" s="291"/>
      <c r="P200" s="291"/>
      <c r="Q200" s="311"/>
      <c r="R200" s="291"/>
      <c r="S200" s="291"/>
    </row>
    <row r="201" spans="1:19" ht="18.5" x14ac:dyDescent="0.45">
      <c r="A201" s="290"/>
      <c r="B201" s="291"/>
      <c r="C201" s="290"/>
      <c r="D201" s="291"/>
      <c r="E201" s="291"/>
      <c r="F201" s="291"/>
      <c r="G201" s="291"/>
      <c r="H201" s="291"/>
      <c r="I201" s="291"/>
      <c r="J201" s="291"/>
      <c r="K201" s="291"/>
      <c r="L201" s="291"/>
      <c r="M201" s="291"/>
      <c r="N201" s="291"/>
      <c r="O201" s="291"/>
      <c r="P201" s="291"/>
      <c r="Q201" s="311"/>
      <c r="R201" s="291"/>
      <c r="S201" s="291"/>
    </row>
    <row r="202" spans="1:19" ht="18.5" x14ac:dyDescent="0.45">
      <c r="A202" s="290"/>
      <c r="B202" s="291"/>
      <c r="C202" s="290"/>
      <c r="D202" s="291"/>
      <c r="E202" s="291"/>
      <c r="F202" s="291"/>
      <c r="G202" s="291"/>
      <c r="H202" s="291"/>
      <c r="I202" s="291"/>
      <c r="J202" s="291"/>
      <c r="K202" s="291"/>
      <c r="L202" s="291"/>
      <c r="M202" s="291"/>
      <c r="N202" s="291"/>
      <c r="O202" s="291"/>
      <c r="P202" s="291"/>
      <c r="Q202" s="311"/>
      <c r="R202" s="291"/>
      <c r="S202" s="291"/>
    </row>
    <row r="203" spans="1:19" ht="18.5" x14ac:dyDescent="0.45">
      <c r="A203" s="290"/>
      <c r="B203" s="291"/>
      <c r="C203" s="290"/>
      <c r="D203" s="291"/>
      <c r="E203" s="291"/>
      <c r="F203" s="291"/>
      <c r="G203" s="291"/>
      <c r="H203" s="291"/>
      <c r="I203" s="291"/>
      <c r="J203" s="291"/>
      <c r="K203" s="291"/>
      <c r="L203" s="291"/>
      <c r="M203" s="291"/>
      <c r="N203" s="291"/>
      <c r="O203" s="291"/>
      <c r="P203" s="291"/>
      <c r="Q203" s="311"/>
      <c r="R203" s="291"/>
      <c r="S203" s="291"/>
    </row>
    <row r="204" spans="1:19" ht="18.5" x14ac:dyDescent="0.45">
      <c r="A204" s="290"/>
      <c r="B204" s="291"/>
      <c r="C204" s="290"/>
      <c r="D204" s="291"/>
      <c r="E204" s="291"/>
      <c r="F204" s="291"/>
      <c r="G204" s="291"/>
      <c r="H204" s="291"/>
      <c r="I204" s="291"/>
      <c r="J204" s="291"/>
      <c r="K204" s="291"/>
      <c r="L204" s="291"/>
      <c r="M204" s="291"/>
      <c r="N204" s="291"/>
      <c r="O204" s="291"/>
      <c r="P204" s="291"/>
      <c r="Q204" s="311"/>
      <c r="R204" s="291"/>
      <c r="S204" s="291"/>
    </row>
    <row r="205" spans="1:19" ht="18.5" x14ac:dyDescent="0.45">
      <c r="A205" s="290"/>
      <c r="B205" s="291"/>
      <c r="C205" s="290"/>
      <c r="D205" s="291"/>
      <c r="E205" s="291"/>
      <c r="F205" s="291"/>
      <c r="G205" s="291"/>
      <c r="H205" s="291"/>
      <c r="I205" s="291"/>
      <c r="J205" s="291"/>
      <c r="K205" s="291"/>
      <c r="L205" s="291"/>
      <c r="M205" s="291"/>
      <c r="N205" s="291"/>
      <c r="O205" s="291"/>
      <c r="P205" s="291"/>
      <c r="Q205" s="311"/>
      <c r="R205" s="291"/>
      <c r="S205" s="291"/>
    </row>
    <row r="206" spans="1:19" ht="18.5" x14ac:dyDescent="0.45">
      <c r="A206" s="290"/>
      <c r="B206" s="291"/>
      <c r="C206" s="290"/>
      <c r="D206" s="291"/>
      <c r="E206" s="291"/>
      <c r="F206" s="291"/>
      <c r="G206" s="291"/>
      <c r="H206" s="291"/>
      <c r="I206" s="291"/>
      <c r="J206" s="291"/>
      <c r="K206" s="291"/>
      <c r="L206" s="291"/>
      <c r="M206" s="291"/>
      <c r="N206" s="291"/>
      <c r="O206" s="291"/>
      <c r="P206" s="291"/>
      <c r="Q206" s="311"/>
      <c r="R206" s="291"/>
      <c r="S206" s="291"/>
    </row>
    <row r="207" spans="1:19" ht="18.5" x14ac:dyDescent="0.45">
      <c r="A207" s="290"/>
      <c r="B207" s="291"/>
      <c r="C207" s="290"/>
      <c r="D207" s="291"/>
      <c r="E207" s="291"/>
      <c r="F207" s="291"/>
      <c r="G207" s="291"/>
      <c r="H207" s="291"/>
      <c r="I207" s="291"/>
      <c r="J207" s="291"/>
      <c r="K207" s="291"/>
      <c r="L207" s="291"/>
      <c r="M207" s="291"/>
      <c r="N207" s="291"/>
      <c r="O207" s="291"/>
      <c r="P207" s="291"/>
      <c r="Q207" s="311"/>
      <c r="R207" s="291"/>
      <c r="S207" s="291"/>
    </row>
    <row r="208" spans="1:19" ht="18.5" x14ac:dyDescent="0.45">
      <c r="A208" s="290"/>
      <c r="B208" s="291"/>
      <c r="C208" s="290"/>
      <c r="D208" s="291"/>
      <c r="E208" s="291"/>
      <c r="F208" s="291"/>
      <c r="G208" s="291"/>
      <c r="H208" s="291"/>
      <c r="I208" s="291"/>
      <c r="J208" s="291"/>
      <c r="K208" s="291"/>
      <c r="L208" s="291"/>
      <c r="M208" s="291"/>
      <c r="N208" s="291"/>
      <c r="O208" s="291"/>
      <c r="P208" s="291"/>
      <c r="Q208" s="311"/>
      <c r="R208" s="291"/>
      <c r="S208" s="291"/>
    </row>
    <row r="209" spans="1:19" ht="18.5" x14ac:dyDescent="0.45">
      <c r="A209" s="290"/>
      <c r="B209" s="291"/>
      <c r="C209" s="290"/>
      <c r="D209" s="291"/>
      <c r="E209" s="291"/>
      <c r="F209" s="291"/>
      <c r="G209" s="291"/>
      <c r="H209" s="291"/>
      <c r="I209" s="291"/>
      <c r="J209" s="291"/>
      <c r="K209" s="291"/>
      <c r="L209" s="291"/>
      <c r="M209" s="291"/>
      <c r="N209" s="291"/>
      <c r="O209" s="291"/>
      <c r="P209" s="291"/>
      <c r="Q209" s="311"/>
      <c r="R209" s="291"/>
      <c r="S209" s="291"/>
    </row>
    <row r="210" spans="1:19" ht="18.5" x14ac:dyDescent="0.45">
      <c r="A210" s="290"/>
      <c r="B210" s="291"/>
      <c r="C210" s="290"/>
      <c r="D210" s="291"/>
      <c r="E210" s="291"/>
      <c r="F210" s="291"/>
      <c r="G210" s="291"/>
      <c r="H210" s="291"/>
      <c r="I210" s="291"/>
      <c r="J210" s="291"/>
      <c r="K210" s="291"/>
      <c r="L210" s="291"/>
      <c r="M210" s="291"/>
      <c r="N210" s="291"/>
      <c r="O210" s="291"/>
      <c r="P210" s="291"/>
      <c r="Q210" s="311"/>
      <c r="R210" s="291"/>
      <c r="S210" s="291"/>
    </row>
    <row r="211" spans="1:19" ht="18.5" x14ac:dyDescent="0.45">
      <c r="A211" s="290"/>
      <c r="B211" s="291"/>
      <c r="C211" s="290"/>
      <c r="D211" s="291"/>
      <c r="E211" s="291"/>
      <c r="F211" s="291"/>
      <c r="G211" s="291"/>
      <c r="H211" s="291"/>
      <c r="I211" s="291"/>
      <c r="J211" s="291"/>
      <c r="K211" s="291"/>
      <c r="L211" s="291"/>
      <c r="M211" s="291"/>
      <c r="N211" s="291"/>
      <c r="O211" s="291"/>
      <c r="P211" s="291"/>
      <c r="Q211" s="311"/>
      <c r="R211" s="291"/>
      <c r="S211" s="291"/>
    </row>
    <row r="212" spans="1:19" ht="18.5" x14ac:dyDescent="0.45">
      <c r="A212" s="290"/>
      <c r="B212" s="291"/>
      <c r="C212" s="290"/>
      <c r="D212" s="291"/>
      <c r="E212" s="291"/>
      <c r="F212" s="291"/>
      <c r="G212" s="291"/>
      <c r="H212" s="291"/>
      <c r="I212" s="291"/>
      <c r="J212" s="291"/>
      <c r="K212" s="291"/>
      <c r="L212" s="291"/>
      <c r="M212" s="291"/>
      <c r="N212" s="291"/>
      <c r="O212" s="291"/>
      <c r="P212" s="291"/>
      <c r="Q212" s="311"/>
      <c r="R212" s="291"/>
      <c r="S212" s="291"/>
    </row>
    <row r="213" spans="1:19" ht="18.5" x14ac:dyDescent="0.45">
      <c r="A213" s="290"/>
      <c r="B213" s="291"/>
      <c r="C213" s="290"/>
      <c r="D213" s="291"/>
      <c r="E213" s="291"/>
      <c r="F213" s="291"/>
      <c r="G213" s="291"/>
      <c r="H213" s="291"/>
      <c r="I213" s="291"/>
      <c r="J213" s="291"/>
      <c r="K213" s="291"/>
      <c r="L213" s="291"/>
      <c r="M213" s="291"/>
      <c r="N213" s="291"/>
      <c r="O213" s="291"/>
      <c r="P213" s="291"/>
      <c r="Q213" s="311"/>
      <c r="R213" s="291"/>
      <c r="S213" s="291"/>
    </row>
    <row r="214" spans="1:19" ht="18.5" x14ac:dyDescent="0.45">
      <c r="A214" s="290"/>
      <c r="B214" s="291"/>
      <c r="C214" s="290"/>
      <c r="D214" s="291"/>
      <c r="E214" s="291"/>
      <c r="F214" s="291"/>
      <c r="G214" s="291"/>
      <c r="H214" s="291"/>
      <c r="I214" s="291"/>
      <c r="J214" s="291"/>
      <c r="K214" s="291"/>
      <c r="L214" s="291"/>
      <c r="M214" s="291"/>
      <c r="N214" s="291"/>
      <c r="O214" s="291"/>
      <c r="P214" s="291"/>
      <c r="Q214" s="311"/>
      <c r="R214" s="291"/>
      <c r="S214" s="291"/>
    </row>
    <row r="215" spans="1:19" ht="18.5" x14ac:dyDescent="0.45">
      <c r="A215" s="290"/>
      <c r="B215" s="291"/>
      <c r="C215" s="290"/>
      <c r="D215" s="291"/>
      <c r="E215" s="291"/>
      <c r="F215" s="291"/>
      <c r="G215" s="291"/>
      <c r="H215" s="291"/>
      <c r="I215" s="291"/>
      <c r="J215" s="291"/>
      <c r="K215" s="291"/>
      <c r="L215" s="291"/>
      <c r="M215" s="291"/>
      <c r="N215" s="291"/>
      <c r="O215" s="291"/>
      <c r="P215" s="291"/>
      <c r="Q215" s="311"/>
      <c r="R215" s="291"/>
      <c r="S215" s="291"/>
    </row>
    <row r="216" spans="1:19" ht="18.5" x14ac:dyDescent="0.45">
      <c r="A216" s="290"/>
      <c r="B216" s="291"/>
      <c r="C216" s="290"/>
      <c r="D216" s="291"/>
      <c r="E216" s="291"/>
      <c r="F216" s="291"/>
      <c r="G216" s="291"/>
      <c r="H216" s="291"/>
      <c r="I216" s="291"/>
      <c r="J216" s="291"/>
      <c r="K216" s="291"/>
      <c r="L216" s="291"/>
      <c r="M216" s="291"/>
      <c r="N216" s="291"/>
      <c r="O216" s="291"/>
      <c r="P216" s="291"/>
      <c r="Q216" s="311"/>
      <c r="R216" s="291"/>
      <c r="S216" s="291"/>
    </row>
    <row r="217" spans="1:19" ht="18.5" x14ac:dyDescent="0.45">
      <c r="A217" s="290"/>
      <c r="B217" s="291"/>
      <c r="C217" s="290"/>
      <c r="D217" s="291"/>
      <c r="E217" s="291"/>
      <c r="F217" s="291"/>
      <c r="G217" s="291"/>
      <c r="H217" s="291"/>
      <c r="I217" s="291"/>
      <c r="J217" s="291"/>
      <c r="K217" s="291"/>
      <c r="L217" s="291"/>
      <c r="M217" s="291"/>
      <c r="N217" s="291"/>
      <c r="O217" s="291"/>
      <c r="P217" s="291"/>
      <c r="Q217" s="311"/>
      <c r="R217" s="291"/>
      <c r="S217" s="291"/>
    </row>
    <row r="218" spans="1:19" ht="18.5" x14ac:dyDescent="0.45">
      <c r="A218" s="290"/>
      <c r="B218" s="291"/>
      <c r="C218" s="290"/>
      <c r="D218" s="291"/>
      <c r="E218" s="291"/>
      <c r="F218" s="291"/>
      <c r="G218" s="291"/>
      <c r="H218" s="291"/>
      <c r="I218" s="291"/>
      <c r="J218" s="291"/>
      <c r="K218" s="291"/>
      <c r="L218" s="291"/>
      <c r="M218" s="291"/>
      <c r="N218" s="291"/>
      <c r="O218" s="291"/>
      <c r="P218" s="291"/>
      <c r="Q218" s="311"/>
      <c r="R218" s="291"/>
      <c r="S218" s="291"/>
    </row>
    <row r="219" spans="1:19" ht="18.5" x14ac:dyDescent="0.45">
      <c r="A219" s="290"/>
      <c r="B219" s="291"/>
      <c r="C219" s="290"/>
      <c r="D219" s="291"/>
      <c r="E219" s="291"/>
      <c r="F219" s="291"/>
      <c r="G219" s="291"/>
      <c r="H219" s="291"/>
      <c r="I219" s="291"/>
      <c r="J219" s="291"/>
      <c r="K219" s="291"/>
      <c r="L219" s="291"/>
      <c r="M219" s="291"/>
      <c r="N219" s="291"/>
      <c r="O219" s="291"/>
      <c r="P219" s="291"/>
      <c r="Q219" s="311"/>
      <c r="R219" s="291"/>
      <c r="S219" s="291"/>
    </row>
    <row r="220" spans="1:19" ht="18.5" x14ac:dyDescent="0.45">
      <c r="A220" s="290"/>
      <c r="B220" s="291"/>
      <c r="C220" s="290"/>
      <c r="D220" s="291"/>
      <c r="E220" s="291"/>
      <c r="F220" s="291"/>
      <c r="G220" s="291"/>
      <c r="H220" s="291"/>
      <c r="I220" s="291"/>
      <c r="J220" s="291"/>
      <c r="K220" s="291"/>
      <c r="L220" s="291"/>
      <c r="M220" s="291"/>
      <c r="N220" s="291"/>
      <c r="O220" s="291"/>
      <c r="P220" s="291"/>
      <c r="Q220" s="311"/>
      <c r="R220" s="291"/>
      <c r="S220" s="291"/>
    </row>
    <row r="221" spans="1:19" ht="18.5" x14ac:dyDescent="0.45">
      <c r="A221" s="290"/>
      <c r="B221" s="291"/>
      <c r="C221" s="290"/>
      <c r="D221" s="291"/>
      <c r="E221" s="291"/>
      <c r="F221" s="291"/>
      <c r="G221" s="291"/>
      <c r="H221" s="291"/>
      <c r="I221" s="291"/>
      <c r="J221" s="291"/>
      <c r="K221" s="291"/>
      <c r="L221" s="291"/>
      <c r="M221" s="291"/>
      <c r="N221" s="291"/>
      <c r="O221" s="291"/>
      <c r="P221" s="291"/>
      <c r="Q221" s="311"/>
      <c r="R221" s="291"/>
      <c r="S221" s="291"/>
    </row>
    <row r="222" spans="1:19" ht="18.5" x14ac:dyDescent="0.45">
      <c r="A222" s="290"/>
      <c r="B222" s="291"/>
      <c r="C222" s="290"/>
      <c r="D222" s="291"/>
      <c r="E222" s="291"/>
      <c r="F222" s="291"/>
      <c r="G222" s="291"/>
      <c r="H222" s="291"/>
      <c r="I222" s="291"/>
      <c r="J222" s="291"/>
      <c r="K222" s="291"/>
      <c r="L222" s="291"/>
      <c r="M222" s="291"/>
      <c r="N222" s="291"/>
      <c r="O222" s="291"/>
      <c r="P222" s="291"/>
      <c r="Q222" s="311"/>
      <c r="R222" s="291"/>
      <c r="S222" s="291"/>
    </row>
    <row r="223" spans="1:19" ht="18.5" x14ac:dyDescent="0.45">
      <c r="A223" s="290"/>
      <c r="B223" s="291"/>
      <c r="C223" s="290"/>
      <c r="D223" s="291"/>
      <c r="E223" s="291"/>
      <c r="F223" s="291"/>
      <c r="G223" s="291"/>
      <c r="H223" s="291"/>
      <c r="I223" s="291"/>
      <c r="J223" s="291"/>
      <c r="K223" s="291"/>
      <c r="L223" s="291"/>
      <c r="M223" s="291"/>
      <c r="N223" s="291"/>
      <c r="O223" s="291"/>
      <c r="P223" s="291"/>
      <c r="Q223" s="311"/>
      <c r="R223" s="291"/>
      <c r="S223" s="291"/>
    </row>
    <row r="224" spans="1:19" ht="18.5" x14ac:dyDescent="0.45">
      <c r="A224" s="290"/>
      <c r="B224" s="291"/>
      <c r="C224" s="290"/>
      <c r="D224" s="291"/>
      <c r="E224" s="291"/>
      <c r="F224" s="291"/>
      <c r="G224" s="291"/>
      <c r="H224" s="291"/>
      <c r="I224" s="291"/>
      <c r="J224" s="291"/>
      <c r="K224" s="291"/>
      <c r="L224" s="291"/>
      <c r="M224" s="291"/>
      <c r="N224" s="291"/>
      <c r="O224" s="291"/>
      <c r="P224" s="291"/>
      <c r="Q224" s="311"/>
      <c r="R224" s="291"/>
      <c r="S224" s="291"/>
    </row>
    <row r="225" spans="1:19" ht="18.5" x14ac:dyDescent="0.45">
      <c r="A225" s="290"/>
      <c r="B225" s="291"/>
      <c r="C225" s="290"/>
      <c r="D225" s="291"/>
      <c r="E225" s="291"/>
      <c r="F225" s="291"/>
      <c r="G225" s="291"/>
      <c r="H225" s="291"/>
      <c r="I225" s="291"/>
      <c r="J225" s="291"/>
      <c r="K225" s="291"/>
      <c r="L225" s="291"/>
      <c r="M225" s="291"/>
      <c r="N225" s="291"/>
      <c r="O225" s="291"/>
      <c r="P225" s="291"/>
      <c r="Q225" s="311"/>
      <c r="R225" s="291"/>
      <c r="S225" s="291"/>
    </row>
    <row r="226" spans="1:19" ht="18.5" x14ac:dyDescent="0.45">
      <c r="A226" s="290"/>
      <c r="B226" s="291"/>
      <c r="C226" s="290"/>
      <c r="D226" s="291"/>
      <c r="E226" s="291"/>
      <c r="F226" s="291"/>
      <c r="G226" s="291"/>
      <c r="H226" s="291"/>
      <c r="I226" s="291"/>
      <c r="J226" s="291"/>
      <c r="K226" s="291"/>
      <c r="L226" s="291"/>
      <c r="M226" s="291"/>
      <c r="N226" s="291"/>
      <c r="O226" s="291"/>
      <c r="P226" s="291"/>
      <c r="Q226" s="311"/>
      <c r="R226" s="291"/>
      <c r="S226" s="291"/>
    </row>
    <row r="227" spans="1:19" ht="18.5" x14ac:dyDescent="0.45">
      <c r="A227" s="290"/>
      <c r="B227" s="291"/>
      <c r="C227" s="290"/>
      <c r="D227" s="291"/>
      <c r="E227" s="291"/>
      <c r="F227" s="291"/>
      <c r="G227" s="291"/>
      <c r="H227" s="291"/>
      <c r="I227" s="291"/>
      <c r="J227" s="291"/>
      <c r="K227" s="291"/>
      <c r="L227" s="291"/>
      <c r="M227" s="291"/>
      <c r="N227" s="291"/>
      <c r="O227" s="291"/>
      <c r="P227" s="291"/>
      <c r="Q227" s="311"/>
      <c r="R227" s="291"/>
      <c r="S227" s="291"/>
    </row>
    <row r="228" spans="1:19" ht="18.5" x14ac:dyDescent="0.45">
      <c r="A228" s="290"/>
      <c r="B228" s="291"/>
      <c r="C228" s="290"/>
      <c r="D228" s="291"/>
      <c r="E228" s="291"/>
      <c r="F228" s="291"/>
      <c r="G228" s="291"/>
      <c r="H228" s="291"/>
      <c r="I228" s="291"/>
      <c r="J228" s="291"/>
      <c r="K228" s="291"/>
      <c r="L228" s="291"/>
      <c r="M228" s="291"/>
      <c r="N228" s="291"/>
      <c r="O228" s="291"/>
      <c r="P228" s="291"/>
      <c r="Q228" s="311"/>
      <c r="R228" s="291"/>
      <c r="S228" s="291"/>
    </row>
    <row r="229" spans="1:19" ht="18.5" x14ac:dyDescent="0.45">
      <c r="A229" s="290"/>
      <c r="B229" s="291"/>
      <c r="C229" s="290"/>
      <c r="D229" s="291"/>
      <c r="E229" s="291"/>
      <c r="F229" s="291"/>
      <c r="G229" s="291"/>
      <c r="H229" s="291"/>
      <c r="I229" s="291"/>
      <c r="J229" s="291"/>
      <c r="K229" s="291"/>
      <c r="L229" s="291"/>
      <c r="M229" s="291"/>
      <c r="N229" s="291"/>
      <c r="O229" s="291"/>
      <c r="P229" s="291"/>
      <c r="Q229" s="311"/>
      <c r="R229" s="291"/>
      <c r="S229" s="291"/>
    </row>
    <row r="230" spans="1:19" ht="18.5" x14ac:dyDescent="0.45">
      <c r="A230" s="290"/>
      <c r="B230" s="291"/>
      <c r="C230" s="290"/>
      <c r="D230" s="291"/>
      <c r="E230" s="291"/>
      <c r="F230" s="291"/>
      <c r="G230" s="291"/>
      <c r="H230" s="291"/>
      <c r="I230" s="291"/>
      <c r="J230" s="291"/>
      <c r="K230" s="291"/>
      <c r="L230" s="291"/>
      <c r="M230" s="291"/>
      <c r="N230" s="291"/>
      <c r="O230" s="291"/>
      <c r="P230" s="291"/>
      <c r="Q230" s="311"/>
      <c r="R230" s="291"/>
      <c r="S230" s="291"/>
    </row>
    <row r="231" spans="1:19" ht="18.5" x14ac:dyDescent="0.45">
      <c r="A231" s="290"/>
      <c r="B231" s="291"/>
      <c r="C231" s="290"/>
      <c r="D231" s="291"/>
      <c r="E231" s="291"/>
      <c r="F231" s="291"/>
      <c r="G231" s="291"/>
      <c r="H231" s="291"/>
      <c r="I231" s="291"/>
      <c r="J231" s="291"/>
      <c r="K231" s="291"/>
      <c r="L231" s="291"/>
      <c r="M231" s="291"/>
      <c r="N231" s="291"/>
      <c r="O231" s="291"/>
      <c r="P231" s="291"/>
      <c r="Q231" s="311"/>
      <c r="R231" s="291"/>
      <c r="S231" s="291"/>
    </row>
    <row r="232" spans="1:19" ht="18.5" x14ac:dyDescent="0.45">
      <c r="A232" s="290"/>
      <c r="B232" s="291"/>
      <c r="C232" s="290"/>
      <c r="D232" s="291"/>
      <c r="E232" s="291"/>
      <c r="F232" s="291"/>
      <c r="G232" s="291"/>
      <c r="H232" s="291"/>
      <c r="I232" s="291"/>
      <c r="J232" s="291"/>
      <c r="K232" s="291"/>
      <c r="L232" s="291"/>
      <c r="M232" s="291"/>
      <c r="N232" s="291"/>
      <c r="O232" s="291"/>
      <c r="P232" s="291"/>
      <c r="Q232" s="311"/>
      <c r="R232" s="291"/>
      <c r="S232" s="291"/>
    </row>
    <row r="233" spans="1:19" ht="18.5" x14ac:dyDescent="0.45">
      <c r="A233" s="290"/>
      <c r="B233" s="291"/>
      <c r="C233" s="290"/>
      <c r="D233" s="291"/>
      <c r="E233" s="291"/>
      <c r="F233" s="291"/>
      <c r="G233" s="291"/>
      <c r="H233" s="291"/>
      <c r="I233" s="291"/>
      <c r="J233" s="291"/>
      <c r="K233" s="291"/>
      <c r="L233" s="291"/>
      <c r="M233" s="291"/>
      <c r="N233" s="291"/>
      <c r="O233" s="291"/>
      <c r="P233" s="291"/>
      <c r="Q233" s="311"/>
      <c r="R233" s="291"/>
      <c r="S233" s="291"/>
    </row>
    <row r="234" spans="1:19" ht="18.5" x14ac:dyDescent="0.45">
      <c r="A234" s="290"/>
      <c r="B234" s="291"/>
      <c r="C234" s="290"/>
      <c r="D234" s="291"/>
      <c r="E234" s="291"/>
      <c r="F234" s="291"/>
      <c r="G234" s="291"/>
      <c r="H234" s="291"/>
      <c r="I234" s="291"/>
      <c r="J234" s="291"/>
      <c r="K234" s="291"/>
      <c r="L234" s="291"/>
      <c r="M234" s="291"/>
      <c r="N234" s="291"/>
      <c r="O234" s="291"/>
      <c r="P234" s="291"/>
      <c r="Q234" s="311"/>
      <c r="R234" s="291"/>
      <c r="S234" s="291"/>
    </row>
    <row r="235" spans="1:19" ht="18.5" x14ac:dyDescent="0.45">
      <c r="A235" s="290"/>
      <c r="B235" s="291"/>
      <c r="C235" s="290"/>
      <c r="D235" s="291"/>
      <c r="E235" s="291"/>
      <c r="F235" s="291"/>
      <c r="G235" s="291"/>
      <c r="H235" s="291"/>
      <c r="I235" s="291"/>
      <c r="J235" s="291"/>
      <c r="K235" s="291"/>
      <c r="L235" s="291"/>
      <c r="M235" s="291"/>
      <c r="N235" s="291"/>
      <c r="O235" s="291"/>
      <c r="P235" s="291"/>
      <c r="Q235" s="311"/>
      <c r="R235" s="291"/>
      <c r="S235" s="291"/>
    </row>
    <row r="236" spans="1:19" ht="18.5" x14ac:dyDescent="0.45">
      <c r="A236" s="291"/>
      <c r="B236" s="291"/>
      <c r="C236" s="290"/>
      <c r="D236" s="291"/>
      <c r="E236" s="291"/>
      <c r="F236" s="291"/>
      <c r="G236" s="291"/>
      <c r="H236" s="291"/>
      <c r="I236" s="291"/>
      <c r="J236" s="291"/>
      <c r="K236" s="291"/>
      <c r="L236" s="291"/>
      <c r="M236" s="291"/>
      <c r="N236" s="291"/>
      <c r="O236" s="291"/>
      <c r="P236" s="291"/>
      <c r="Q236" s="311"/>
      <c r="R236" s="291"/>
      <c r="S236" s="291"/>
    </row>
    <row r="237" spans="1:19" ht="18.5" x14ac:dyDescent="0.45">
      <c r="A237" s="291"/>
      <c r="B237" s="291"/>
      <c r="C237" s="290"/>
      <c r="D237" s="291"/>
      <c r="E237" s="291"/>
      <c r="F237" s="291"/>
      <c r="G237" s="291"/>
      <c r="H237" s="291"/>
      <c r="I237" s="291"/>
      <c r="J237" s="291"/>
      <c r="K237" s="291"/>
      <c r="L237" s="291"/>
      <c r="M237" s="291"/>
      <c r="N237" s="291"/>
      <c r="O237" s="291"/>
      <c r="P237" s="291"/>
      <c r="Q237" s="311"/>
      <c r="R237" s="291"/>
      <c r="S237" s="291"/>
    </row>
    <row r="238" spans="1:19" ht="18.5" x14ac:dyDescent="0.45">
      <c r="A238" s="291"/>
      <c r="B238" s="291"/>
      <c r="C238" s="290"/>
      <c r="D238" s="291"/>
      <c r="E238" s="291"/>
      <c r="F238" s="291"/>
      <c r="G238" s="291"/>
      <c r="H238" s="291"/>
      <c r="I238" s="291"/>
      <c r="J238" s="291"/>
      <c r="K238" s="291"/>
      <c r="L238" s="291"/>
      <c r="M238" s="291"/>
      <c r="N238" s="291"/>
      <c r="O238" s="291"/>
      <c r="P238" s="291"/>
      <c r="Q238" s="311"/>
      <c r="R238" s="291"/>
      <c r="S238" s="291"/>
    </row>
    <row r="239" spans="1:19" ht="18.5" x14ac:dyDescent="0.45">
      <c r="A239" s="291"/>
      <c r="B239" s="291"/>
      <c r="C239" s="290"/>
      <c r="D239" s="291"/>
      <c r="E239" s="291"/>
      <c r="F239" s="291"/>
      <c r="G239" s="291"/>
      <c r="H239" s="291"/>
      <c r="I239" s="291"/>
      <c r="J239" s="291"/>
      <c r="K239" s="291"/>
      <c r="L239" s="291"/>
      <c r="M239" s="291"/>
      <c r="N239" s="291"/>
      <c r="O239" s="291"/>
      <c r="P239" s="291"/>
      <c r="Q239" s="311"/>
      <c r="R239" s="291"/>
      <c r="S239" s="291"/>
    </row>
    <row r="240" spans="1:19" ht="18.5" x14ac:dyDescent="0.45">
      <c r="A240" s="291"/>
      <c r="B240" s="291"/>
      <c r="C240" s="290"/>
      <c r="D240" s="291"/>
      <c r="E240" s="291"/>
      <c r="F240" s="291"/>
      <c r="G240" s="291"/>
      <c r="H240" s="291"/>
      <c r="I240" s="291"/>
      <c r="J240" s="291"/>
      <c r="K240" s="291"/>
      <c r="L240" s="291"/>
      <c r="M240" s="291"/>
      <c r="N240" s="291"/>
      <c r="O240" s="291"/>
      <c r="P240" s="291"/>
      <c r="Q240" s="311"/>
      <c r="R240" s="291"/>
      <c r="S240" s="291"/>
    </row>
    <row r="241" spans="1:19" ht="18.5" x14ac:dyDescent="0.45">
      <c r="A241" s="291"/>
      <c r="B241" s="291"/>
      <c r="C241" s="290"/>
      <c r="D241" s="291"/>
      <c r="E241" s="291"/>
      <c r="F241" s="291"/>
      <c r="G241" s="291"/>
      <c r="H241" s="291"/>
      <c r="I241" s="291"/>
      <c r="J241" s="291"/>
      <c r="K241" s="291"/>
      <c r="L241" s="291"/>
      <c r="M241" s="291"/>
      <c r="N241" s="291"/>
      <c r="O241" s="291"/>
      <c r="P241" s="291"/>
      <c r="Q241" s="311"/>
      <c r="R241" s="291"/>
      <c r="S241" s="291"/>
    </row>
    <row r="242" spans="1:19" ht="18.5" x14ac:dyDescent="0.45">
      <c r="A242" s="291"/>
      <c r="B242" s="291"/>
      <c r="C242" s="290"/>
      <c r="D242" s="291"/>
      <c r="E242" s="291"/>
      <c r="F242" s="291"/>
      <c r="G242" s="291"/>
      <c r="H242" s="291"/>
      <c r="I242" s="291"/>
      <c r="J242" s="291"/>
      <c r="K242" s="291"/>
      <c r="L242" s="291"/>
      <c r="M242" s="291"/>
      <c r="N242" s="291"/>
      <c r="O242" s="291"/>
      <c r="P242" s="291"/>
      <c r="Q242" s="311"/>
      <c r="R242" s="291"/>
      <c r="S242" s="291"/>
    </row>
    <row r="243" spans="1:19" ht="18.5" x14ac:dyDescent="0.45">
      <c r="A243" s="291"/>
      <c r="B243" s="291"/>
      <c r="C243" s="290"/>
      <c r="D243" s="291"/>
      <c r="E243" s="291"/>
      <c r="F243" s="291"/>
      <c r="G243" s="291"/>
      <c r="H243" s="291"/>
      <c r="I243" s="291"/>
      <c r="J243" s="291"/>
      <c r="K243" s="291"/>
      <c r="L243" s="291"/>
      <c r="M243" s="291"/>
      <c r="N243" s="291"/>
      <c r="O243" s="291"/>
      <c r="P243" s="291"/>
      <c r="Q243" s="311"/>
      <c r="R243" s="291"/>
      <c r="S243" s="291"/>
    </row>
    <row r="244" spans="1:19" ht="18.5" x14ac:dyDescent="0.45">
      <c r="A244" s="291"/>
      <c r="B244" s="291"/>
      <c r="C244" s="290"/>
      <c r="D244" s="291"/>
      <c r="E244" s="291"/>
      <c r="F244" s="291"/>
      <c r="G244" s="291"/>
      <c r="H244" s="291"/>
      <c r="I244" s="291"/>
      <c r="J244" s="291"/>
      <c r="K244" s="291"/>
      <c r="L244" s="291"/>
      <c r="M244" s="291"/>
      <c r="N244" s="291"/>
      <c r="O244" s="291"/>
      <c r="P244" s="291"/>
      <c r="Q244" s="311"/>
      <c r="R244" s="291"/>
      <c r="S244" s="291"/>
    </row>
    <row r="245" spans="1:19" ht="18.5" x14ac:dyDescent="0.45">
      <c r="A245" s="291"/>
      <c r="B245" s="291"/>
      <c r="C245" s="290"/>
      <c r="D245" s="291"/>
      <c r="E245" s="291"/>
      <c r="F245" s="291"/>
      <c r="G245" s="291"/>
      <c r="H245" s="291"/>
      <c r="I245" s="291"/>
      <c r="J245" s="291"/>
      <c r="K245" s="291"/>
      <c r="L245" s="291"/>
      <c r="M245" s="291"/>
      <c r="N245" s="291"/>
      <c r="O245" s="291"/>
      <c r="P245" s="291"/>
      <c r="Q245" s="311"/>
      <c r="R245" s="291"/>
      <c r="S245" s="291"/>
    </row>
    <row r="246" spans="1:19" ht="18.5" x14ac:dyDescent="0.45">
      <c r="A246" s="291"/>
      <c r="B246" s="291"/>
      <c r="C246" s="290"/>
      <c r="D246" s="291"/>
      <c r="E246" s="291"/>
      <c r="F246" s="291"/>
      <c r="G246" s="291"/>
      <c r="H246" s="291"/>
      <c r="I246" s="291"/>
      <c r="J246" s="291"/>
      <c r="K246" s="291"/>
      <c r="L246" s="291"/>
      <c r="M246" s="291"/>
      <c r="N246" s="291"/>
      <c r="O246" s="291"/>
      <c r="P246" s="291"/>
      <c r="Q246" s="311"/>
      <c r="R246" s="291"/>
      <c r="S246" s="291"/>
    </row>
    <row r="247" spans="1:19" ht="18.5" x14ac:dyDescent="0.45">
      <c r="A247" s="291"/>
      <c r="B247" s="291"/>
      <c r="C247" s="290"/>
      <c r="D247" s="291"/>
      <c r="E247" s="291"/>
      <c r="F247" s="291"/>
      <c r="G247" s="291"/>
      <c r="H247" s="291"/>
      <c r="I247" s="291"/>
      <c r="J247" s="291"/>
      <c r="K247" s="291"/>
      <c r="L247" s="291"/>
      <c r="M247" s="291"/>
      <c r="N247" s="291"/>
      <c r="O247" s="291"/>
      <c r="P247" s="291"/>
      <c r="Q247" s="311"/>
      <c r="R247" s="291"/>
      <c r="S247" s="291"/>
    </row>
    <row r="248" spans="1:19" ht="18.5" x14ac:dyDescent="0.45">
      <c r="A248" s="291"/>
      <c r="B248" s="291"/>
      <c r="C248" s="290"/>
      <c r="D248" s="291"/>
      <c r="E248" s="291"/>
      <c r="F248" s="291"/>
      <c r="G248" s="291"/>
      <c r="H248" s="291"/>
      <c r="I248" s="291"/>
      <c r="J248" s="291"/>
      <c r="K248" s="291"/>
      <c r="L248" s="291"/>
      <c r="M248" s="291"/>
      <c r="N248" s="291"/>
      <c r="O248" s="291"/>
      <c r="P248" s="291"/>
      <c r="Q248" s="311"/>
      <c r="R248" s="291"/>
      <c r="S248" s="291"/>
    </row>
    <row r="249" spans="1:19" ht="18.5" x14ac:dyDescent="0.45">
      <c r="A249" s="291"/>
      <c r="B249" s="291"/>
      <c r="C249" s="290"/>
      <c r="D249" s="291"/>
      <c r="E249" s="291"/>
      <c r="F249" s="291"/>
      <c r="G249" s="291"/>
      <c r="H249" s="291"/>
      <c r="I249" s="291"/>
      <c r="J249" s="291"/>
      <c r="K249" s="291"/>
      <c r="L249" s="291"/>
      <c r="M249" s="291"/>
      <c r="N249" s="291"/>
      <c r="O249" s="291"/>
      <c r="P249" s="291"/>
      <c r="Q249" s="311"/>
      <c r="R249" s="291"/>
      <c r="S249" s="291"/>
    </row>
    <row r="250" spans="1:19" ht="18.5" x14ac:dyDescent="0.45">
      <c r="A250" s="291"/>
      <c r="B250" s="291"/>
      <c r="C250" s="290"/>
      <c r="D250" s="291"/>
      <c r="E250" s="291"/>
      <c r="F250" s="291"/>
      <c r="G250" s="291"/>
      <c r="H250" s="291"/>
      <c r="I250" s="291"/>
      <c r="J250" s="291"/>
      <c r="K250" s="291"/>
      <c r="L250" s="291"/>
      <c r="M250" s="291"/>
      <c r="N250" s="291"/>
      <c r="O250" s="291"/>
      <c r="P250" s="291"/>
      <c r="Q250" s="311"/>
      <c r="R250" s="291"/>
      <c r="S250" s="291"/>
    </row>
    <row r="251" spans="1:19" ht="18.5" x14ac:dyDescent="0.45">
      <c r="A251" s="291"/>
      <c r="B251" s="291"/>
      <c r="C251" s="290"/>
      <c r="D251" s="291"/>
      <c r="E251" s="291"/>
      <c r="F251" s="291"/>
      <c r="G251" s="291"/>
      <c r="H251" s="291"/>
      <c r="I251" s="291"/>
      <c r="J251" s="291"/>
      <c r="K251" s="291"/>
      <c r="L251" s="291"/>
      <c r="M251" s="291"/>
      <c r="N251" s="291"/>
      <c r="O251" s="291"/>
      <c r="P251" s="291"/>
      <c r="Q251" s="311"/>
      <c r="R251" s="291"/>
      <c r="S251" s="291"/>
    </row>
    <row r="252" spans="1:19" ht="18.5" x14ac:dyDescent="0.45">
      <c r="A252" s="291"/>
      <c r="B252" s="291"/>
      <c r="C252" s="290"/>
      <c r="D252" s="291"/>
      <c r="E252" s="291"/>
      <c r="F252" s="291"/>
      <c r="G252" s="291"/>
      <c r="H252" s="291"/>
      <c r="I252" s="291"/>
      <c r="J252" s="291"/>
      <c r="K252" s="291"/>
      <c r="L252" s="291"/>
      <c r="M252" s="291"/>
      <c r="N252" s="291"/>
      <c r="O252" s="291"/>
      <c r="P252" s="291"/>
      <c r="Q252" s="311"/>
      <c r="R252" s="291"/>
      <c r="S252" s="291"/>
    </row>
    <row r="253" spans="1:19" ht="18.5" x14ac:dyDescent="0.45">
      <c r="A253" s="291"/>
      <c r="B253" s="291"/>
      <c r="C253" s="290"/>
      <c r="D253" s="291"/>
      <c r="E253" s="291"/>
      <c r="F253" s="291"/>
      <c r="G253" s="291"/>
      <c r="H253" s="291"/>
      <c r="I253" s="291"/>
      <c r="J253" s="291"/>
      <c r="K253" s="291"/>
      <c r="L253" s="291"/>
      <c r="M253" s="291"/>
      <c r="N253" s="291"/>
      <c r="O253" s="291"/>
      <c r="P253" s="291"/>
      <c r="Q253" s="311"/>
      <c r="R253" s="291"/>
      <c r="S253" s="291"/>
    </row>
    <row r="254" spans="1:19" ht="18.5" x14ac:dyDescent="0.45">
      <c r="A254" s="291"/>
      <c r="B254" s="291"/>
      <c r="C254" s="290"/>
      <c r="D254" s="291"/>
      <c r="E254" s="291"/>
      <c r="F254" s="291"/>
      <c r="G254" s="291"/>
      <c r="H254" s="291"/>
      <c r="I254" s="291"/>
      <c r="J254" s="291"/>
      <c r="K254" s="291"/>
      <c r="L254" s="291"/>
      <c r="M254" s="291"/>
      <c r="N254" s="291"/>
      <c r="O254" s="291"/>
      <c r="P254" s="291"/>
      <c r="Q254" s="311"/>
      <c r="R254" s="291"/>
      <c r="S254" s="291"/>
    </row>
    <row r="255" spans="1:19" ht="18.5" x14ac:dyDescent="0.45">
      <c r="A255" s="291"/>
      <c r="B255" s="291"/>
      <c r="C255" s="290"/>
      <c r="D255" s="291"/>
      <c r="E255" s="291"/>
      <c r="F255" s="291"/>
      <c r="G255" s="291"/>
      <c r="H255" s="291"/>
      <c r="I255" s="291"/>
      <c r="J255" s="291"/>
      <c r="K255" s="291"/>
      <c r="L255" s="291"/>
      <c r="M255" s="291"/>
      <c r="N255" s="291"/>
      <c r="O255" s="291"/>
      <c r="P255" s="291"/>
      <c r="Q255" s="311"/>
      <c r="R255" s="291"/>
      <c r="S255" s="291"/>
    </row>
    <row r="256" spans="1:19" ht="18.5" x14ac:dyDescent="0.45">
      <c r="A256" s="291"/>
      <c r="B256" s="291"/>
      <c r="C256" s="290"/>
      <c r="D256" s="291"/>
      <c r="E256" s="291"/>
      <c r="F256" s="291"/>
      <c r="G256" s="291"/>
      <c r="H256" s="291"/>
      <c r="I256" s="291"/>
      <c r="J256" s="291"/>
      <c r="K256" s="291"/>
      <c r="L256" s="291"/>
      <c r="M256" s="291"/>
      <c r="N256" s="291"/>
      <c r="O256" s="291"/>
      <c r="P256" s="291"/>
      <c r="Q256" s="311"/>
      <c r="R256" s="291"/>
      <c r="S256" s="291"/>
    </row>
    <row r="257" spans="1:19" ht="18.5" x14ac:dyDescent="0.45">
      <c r="A257" s="291"/>
      <c r="B257" s="291"/>
      <c r="C257" s="290"/>
      <c r="D257" s="291"/>
      <c r="E257" s="291"/>
      <c r="F257" s="291"/>
      <c r="G257" s="291"/>
      <c r="H257" s="291"/>
      <c r="I257" s="291"/>
      <c r="J257" s="291"/>
      <c r="K257" s="291"/>
      <c r="L257" s="291"/>
      <c r="M257" s="291"/>
      <c r="N257" s="291"/>
      <c r="O257" s="291"/>
      <c r="P257" s="291"/>
      <c r="Q257" s="311"/>
      <c r="R257" s="291"/>
      <c r="S257" s="291"/>
    </row>
    <row r="258" spans="1:19" ht="18.5" x14ac:dyDescent="0.45">
      <c r="A258" s="291"/>
      <c r="B258" s="291"/>
      <c r="C258" s="290"/>
      <c r="D258" s="291"/>
      <c r="E258" s="291"/>
      <c r="F258" s="291"/>
      <c r="G258" s="291"/>
      <c r="H258" s="291"/>
      <c r="I258" s="291"/>
      <c r="J258" s="291"/>
      <c r="K258" s="291"/>
      <c r="L258" s="291"/>
      <c r="M258" s="291"/>
      <c r="N258" s="291"/>
      <c r="O258" s="291"/>
      <c r="P258" s="291"/>
      <c r="Q258" s="311"/>
      <c r="R258" s="291"/>
      <c r="S258" s="291"/>
    </row>
    <row r="259" spans="1:19" ht="18.5" x14ac:dyDescent="0.45">
      <c r="A259" s="291"/>
      <c r="B259" s="291"/>
      <c r="C259" s="290"/>
      <c r="D259" s="291"/>
      <c r="E259" s="291"/>
      <c r="F259" s="291"/>
      <c r="G259" s="291"/>
      <c r="H259" s="291"/>
      <c r="I259" s="291"/>
      <c r="J259" s="291"/>
      <c r="K259" s="291"/>
      <c r="L259" s="291"/>
      <c r="M259" s="291"/>
      <c r="N259" s="291"/>
      <c r="O259" s="291"/>
      <c r="P259" s="291"/>
      <c r="Q259" s="311"/>
      <c r="R259" s="291"/>
      <c r="S259" s="291"/>
    </row>
    <row r="260" spans="1:19" ht="18.5" x14ac:dyDescent="0.45">
      <c r="A260" s="291"/>
      <c r="B260" s="291"/>
      <c r="C260" s="290"/>
      <c r="D260" s="291"/>
      <c r="E260" s="291"/>
      <c r="F260" s="291"/>
      <c r="G260" s="291"/>
      <c r="H260" s="291"/>
      <c r="I260" s="291"/>
      <c r="J260" s="291"/>
      <c r="K260" s="291"/>
      <c r="L260" s="291"/>
      <c r="M260" s="291"/>
      <c r="N260" s="291"/>
      <c r="O260" s="291"/>
      <c r="P260" s="291"/>
      <c r="Q260" s="311"/>
      <c r="R260" s="291"/>
      <c r="S260" s="291"/>
    </row>
    <row r="261" spans="1:19" ht="18.5" x14ac:dyDescent="0.45">
      <c r="A261" s="291"/>
      <c r="B261" s="291"/>
      <c r="C261" s="290"/>
      <c r="D261" s="291"/>
      <c r="E261" s="291"/>
      <c r="F261" s="291"/>
      <c r="G261" s="291"/>
      <c r="H261" s="291"/>
      <c r="I261" s="291"/>
      <c r="J261" s="291"/>
      <c r="K261" s="291"/>
      <c r="L261" s="291"/>
      <c r="M261" s="291"/>
      <c r="N261" s="291"/>
      <c r="O261" s="291"/>
      <c r="P261" s="291"/>
      <c r="Q261" s="311"/>
      <c r="R261" s="291"/>
      <c r="S261" s="291"/>
    </row>
    <row r="262" spans="1:19" ht="18.5" x14ac:dyDescent="0.45">
      <c r="A262" s="291"/>
      <c r="B262" s="291"/>
      <c r="C262" s="290"/>
      <c r="D262" s="291"/>
      <c r="E262" s="291"/>
      <c r="F262" s="291"/>
      <c r="G262" s="291"/>
      <c r="H262" s="291"/>
      <c r="I262" s="291"/>
      <c r="J262" s="291"/>
      <c r="K262" s="291"/>
      <c r="L262" s="291"/>
      <c r="M262" s="291"/>
      <c r="N262" s="291"/>
      <c r="O262" s="291"/>
      <c r="P262" s="291"/>
      <c r="Q262" s="311"/>
      <c r="R262" s="291"/>
      <c r="S262" s="291"/>
    </row>
    <row r="263" spans="1:19" ht="18.5" x14ac:dyDescent="0.45">
      <c r="A263" s="291"/>
      <c r="B263" s="291"/>
      <c r="C263" s="290"/>
      <c r="D263" s="291"/>
      <c r="E263" s="291"/>
      <c r="F263" s="291"/>
      <c r="G263" s="291"/>
      <c r="H263" s="291"/>
      <c r="I263" s="291"/>
      <c r="J263" s="291"/>
      <c r="K263" s="291"/>
      <c r="L263" s="291"/>
      <c r="M263" s="291"/>
      <c r="N263" s="291"/>
      <c r="O263" s="291"/>
      <c r="P263" s="291"/>
      <c r="Q263" s="311"/>
      <c r="R263" s="291"/>
      <c r="S263" s="291"/>
    </row>
    <row r="264" spans="1:19" ht="18.5" x14ac:dyDescent="0.45">
      <c r="A264" s="291"/>
      <c r="B264" s="291"/>
      <c r="C264" s="290"/>
      <c r="D264" s="291"/>
      <c r="E264" s="291"/>
      <c r="F264" s="291"/>
      <c r="G264" s="291"/>
      <c r="H264" s="291"/>
      <c r="I264" s="291"/>
      <c r="J264" s="291"/>
      <c r="K264" s="291"/>
      <c r="L264" s="291"/>
      <c r="M264" s="291"/>
      <c r="N264" s="291"/>
      <c r="O264" s="291"/>
      <c r="P264" s="291"/>
      <c r="Q264" s="311"/>
      <c r="R264" s="291"/>
      <c r="S264" s="291"/>
    </row>
    <row r="265" spans="1:19" ht="18.5" x14ac:dyDescent="0.45">
      <c r="A265" s="291"/>
      <c r="B265" s="291"/>
      <c r="C265" s="290"/>
      <c r="D265" s="291"/>
      <c r="E265" s="291"/>
      <c r="F265" s="291"/>
      <c r="G265" s="291"/>
      <c r="H265" s="291"/>
      <c r="I265" s="291"/>
      <c r="J265" s="291"/>
      <c r="K265" s="291"/>
      <c r="L265" s="291"/>
      <c r="M265" s="291"/>
      <c r="N265" s="291"/>
      <c r="O265" s="291"/>
      <c r="P265" s="291"/>
      <c r="Q265" s="311"/>
      <c r="R265" s="291"/>
      <c r="S265" s="291"/>
    </row>
    <row r="266" spans="1:19" ht="18.5" x14ac:dyDescent="0.45">
      <c r="A266" s="291"/>
      <c r="B266" s="291"/>
      <c r="C266" s="290"/>
      <c r="D266" s="291"/>
      <c r="E266" s="291"/>
      <c r="F266" s="291"/>
      <c r="G266" s="291"/>
      <c r="H266" s="291"/>
      <c r="I266" s="291"/>
      <c r="J266" s="291"/>
      <c r="K266" s="291"/>
      <c r="L266" s="291"/>
      <c r="M266" s="291"/>
      <c r="N266" s="291"/>
      <c r="O266" s="291"/>
      <c r="P266" s="291"/>
      <c r="Q266" s="311"/>
      <c r="R266" s="291"/>
      <c r="S266" s="291"/>
    </row>
    <row r="267" spans="1:19" ht="18.5" x14ac:dyDescent="0.45">
      <c r="A267" s="291"/>
      <c r="B267" s="291"/>
      <c r="C267" s="290"/>
      <c r="D267" s="291"/>
      <c r="E267" s="291"/>
      <c r="F267" s="291"/>
      <c r="G267" s="291"/>
      <c r="H267" s="291"/>
      <c r="I267" s="291"/>
      <c r="J267" s="291"/>
      <c r="K267" s="291"/>
      <c r="L267" s="291"/>
      <c r="M267" s="291"/>
      <c r="N267" s="291"/>
      <c r="O267" s="291"/>
      <c r="P267" s="291"/>
      <c r="Q267" s="311"/>
      <c r="R267" s="291"/>
      <c r="S267" s="291"/>
    </row>
    <row r="268" spans="1:19" ht="18.5" x14ac:dyDescent="0.45">
      <c r="A268" s="291"/>
      <c r="B268" s="291"/>
      <c r="C268" s="290"/>
      <c r="D268" s="291"/>
      <c r="E268" s="291"/>
      <c r="F268" s="291"/>
      <c r="G268" s="291"/>
      <c r="H268" s="291"/>
      <c r="I268" s="291"/>
      <c r="J268" s="291"/>
      <c r="K268" s="291"/>
      <c r="L268" s="291"/>
      <c r="M268" s="291"/>
      <c r="N268" s="291"/>
      <c r="O268" s="291"/>
      <c r="P268" s="291"/>
      <c r="Q268" s="311"/>
      <c r="R268" s="291"/>
      <c r="S268" s="291"/>
    </row>
    <row r="269" spans="1:19" ht="18.5" x14ac:dyDescent="0.45">
      <c r="A269" s="291"/>
      <c r="B269" s="291"/>
      <c r="C269" s="290"/>
      <c r="D269" s="291"/>
      <c r="E269" s="291"/>
      <c r="F269" s="291"/>
      <c r="G269" s="291"/>
      <c r="H269" s="291"/>
      <c r="I269" s="291"/>
      <c r="J269" s="291"/>
      <c r="K269" s="291"/>
      <c r="L269" s="291"/>
      <c r="M269" s="291"/>
      <c r="N269" s="291"/>
      <c r="O269" s="291"/>
      <c r="P269" s="291"/>
      <c r="Q269" s="311"/>
      <c r="R269" s="291"/>
      <c r="S269" s="291"/>
    </row>
    <row r="270" spans="1:19" ht="18.5" x14ac:dyDescent="0.45">
      <c r="A270" s="291"/>
      <c r="B270" s="291"/>
      <c r="C270" s="290"/>
      <c r="D270" s="291"/>
      <c r="E270" s="291"/>
      <c r="F270" s="291"/>
      <c r="G270" s="291"/>
      <c r="H270" s="291"/>
      <c r="I270" s="291"/>
      <c r="J270" s="291"/>
      <c r="K270" s="291"/>
      <c r="L270" s="291"/>
      <c r="M270" s="291"/>
      <c r="N270" s="291"/>
      <c r="O270" s="291"/>
      <c r="P270" s="291"/>
      <c r="Q270" s="311"/>
      <c r="R270" s="291"/>
      <c r="S270" s="291"/>
    </row>
    <row r="271" spans="1:19" ht="18.5" x14ac:dyDescent="0.45">
      <c r="A271" s="291"/>
      <c r="B271" s="291"/>
      <c r="C271" s="290"/>
      <c r="D271" s="291"/>
      <c r="E271" s="291"/>
      <c r="F271" s="291"/>
      <c r="G271" s="291"/>
      <c r="H271" s="291"/>
      <c r="I271" s="291"/>
      <c r="J271" s="291"/>
      <c r="K271" s="291"/>
      <c r="L271" s="291"/>
      <c r="M271" s="291"/>
      <c r="N271" s="291"/>
      <c r="O271" s="291"/>
      <c r="P271" s="291"/>
      <c r="Q271" s="311"/>
      <c r="R271" s="291"/>
      <c r="S271" s="291"/>
    </row>
    <row r="272" spans="1:19" ht="18.5" x14ac:dyDescent="0.45">
      <c r="A272" s="291"/>
      <c r="B272" s="291"/>
      <c r="C272" s="290"/>
      <c r="D272" s="291"/>
      <c r="E272" s="291"/>
      <c r="F272" s="291"/>
      <c r="G272" s="291"/>
      <c r="H272" s="291"/>
      <c r="I272" s="291"/>
      <c r="J272" s="291"/>
      <c r="K272" s="291"/>
      <c r="L272" s="291"/>
      <c r="M272" s="291"/>
      <c r="N272" s="291"/>
      <c r="O272" s="291"/>
      <c r="P272" s="291"/>
      <c r="Q272" s="311"/>
      <c r="R272" s="291"/>
      <c r="S272" s="291"/>
    </row>
    <row r="273" spans="1:19" ht="18.5" x14ac:dyDescent="0.45">
      <c r="A273" s="291"/>
      <c r="B273" s="291"/>
      <c r="C273" s="290"/>
      <c r="D273" s="291"/>
      <c r="E273" s="291"/>
      <c r="F273" s="291"/>
      <c r="G273" s="291"/>
      <c r="H273" s="291"/>
      <c r="I273" s="291"/>
      <c r="J273" s="291"/>
      <c r="K273" s="291"/>
      <c r="L273" s="291"/>
      <c r="M273" s="291"/>
      <c r="N273" s="291"/>
      <c r="O273" s="291"/>
      <c r="P273" s="291"/>
      <c r="Q273" s="311"/>
      <c r="R273" s="291"/>
      <c r="S273" s="291"/>
    </row>
    <row r="274" spans="1:19" ht="18.5" x14ac:dyDescent="0.45">
      <c r="A274" s="291"/>
      <c r="B274" s="291"/>
      <c r="C274" s="290"/>
      <c r="D274" s="291"/>
      <c r="E274" s="291"/>
      <c r="F274" s="291"/>
      <c r="G274" s="291"/>
      <c r="H274" s="291"/>
      <c r="I274" s="291"/>
      <c r="J274" s="291"/>
      <c r="K274" s="291"/>
      <c r="L274" s="291"/>
      <c r="M274" s="291"/>
      <c r="N274" s="291"/>
      <c r="O274" s="291"/>
      <c r="P274" s="291"/>
      <c r="Q274" s="311"/>
      <c r="R274" s="291"/>
      <c r="S274" s="291"/>
    </row>
    <row r="275" spans="1:19" ht="18.5" x14ac:dyDescent="0.45">
      <c r="A275" s="291"/>
      <c r="B275" s="291"/>
      <c r="C275" s="290"/>
      <c r="D275" s="291"/>
      <c r="E275" s="291"/>
      <c r="F275" s="291"/>
      <c r="G275" s="291"/>
      <c r="H275" s="291"/>
      <c r="I275" s="291"/>
      <c r="J275" s="291"/>
      <c r="K275" s="291"/>
      <c r="L275" s="291"/>
      <c r="M275" s="291"/>
      <c r="N275" s="291"/>
      <c r="O275" s="291"/>
      <c r="P275" s="291"/>
      <c r="Q275" s="311"/>
      <c r="R275" s="291"/>
      <c r="S275" s="291"/>
    </row>
    <row r="276" spans="1:19" ht="18.5" x14ac:dyDescent="0.45">
      <c r="A276" s="291"/>
      <c r="B276" s="291"/>
      <c r="C276" s="290"/>
      <c r="D276" s="291"/>
      <c r="E276" s="291"/>
      <c r="F276" s="291"/>
      <c r="G276" s="291"/>
      <c r="H276" s="291"/>
      <c r="I276" s="291"/>
      <c r="J276" s="291"/>
      <c r="K276" s="291"/>
      <c r="L276" s="291"/>
      <c r="M276" s="291"/>
      <c r="N276" s="291"/>
      <c r="O276" s="291"/>
      <c r="P276" s="291"/>
      <c r="Q276" s="311"/>
      <c r="R276" s="291"/>
      <c r="S276" s="291"/>
    </row>
    <row r="277" spans="1:19" ht="18.5" x14ac:dyDescent="0.45">
      <c r="A277" s="291"/>
      <c r="B277" s="291"/>
      <c r="C277" s="290"/>
      <c r="D277" s="291"/>
      <c r="E277" s="291"/>
      <c r="F277" s="291"/>
      <c r="G277" s="291"/>
      <c r="H277" s="291"/>
      <c r="I277" s="291"/>
      <c r="J277" s="291"/>
      <c r="K277" s="291"/>
      <c r="L277" s="291"/>
      <c r="M277" s="291"/>
      <c r="N277" s="291"/>
      <c r="O277" s="291"/>
      <c r="P277" s="291"/>
      <c r="Q277" s="311"/>
      <c r="R277" s="291"/>
      <c r="S277" s="291"/>
    </row>
    <row r="278" spans="1:19" ht="18.5" x14ac:dyDescent="0.45">
      <c r="A278" s="291"/>
      <c r="B278" s="291"/>
      <c r="C278" s="290"/>
      <c r="D278" s="291"/>
      <c r="E278" s="291"/>
      <c r="F278" s="291"/>
      <c r="G278" s="291"/>
      <c r="H278" s="291"/>
      <c r="I278" s="291"/>
      <c r="J278" s="291"/>
      <c r="K278" s="291"/>
      <c r="L278" s="291"/>
      <c r="M278" s="291"/>
      <c r="N278" s="291"/>
      <c r="O278" s="291"/>
      <c r="P278" s="291"/>
      <c r="Q278" s="311"/>
      <c r="R278" s="291"/>
      <c r="S278" s="291"/>
    </row>
    <row r="279" spans="1:19" ht="18.5" x14ac:dyDescent="0.45">
      <c r="A279" s="291"/>
      <c r="B279" s="291"/>
      <c r="C279" s="290"/>
      <c r="D279" s="291"/>
      <c r="E279" s="291"/>
      <c r="F279" s="291"/>
      <c r="G279" s="291"/>
      <c r="H279" s="291"/>
      <c r="I279" s="291"/>
      <c r="J279" s="291"/>
      <c r="K279" s="291"/>
      <c r="L279" s="291"/>
      <c r="M279" s="291"/>
      <c r="N279" s="291"/>
      <c r="O279" s="291"/>
      <c r="P279" s="291"/>
      <c r="Q279" s="311"/>
      <c r="R279" s="291"/>
      <c r="S279" s="291"/>
    </row>
    <row r="280" spans="1:19" ht="18.5" x14ac:dyDescent="0.45">
      <c r="A280" s="291"/>
      <c r="B280" s="291"/>
      <c r="C280" s="290"/>
      <c r="D280" s="291"/>
      <c r="E280" s="291"/>
      <c r="F280" s="291"/>
      <c r="G280" s="291"/>
      <c r="H280" s="291"/>
      <c r="I280" s="291"/>
      <c r="J280" s="291"/>
      <c r="K280" s="291"/>
      <c r="L280" s="291"/>
      <c r="M280" s="291"/>
      <c r="N280" s="291"/>
      <c r="O280" s="291"/>
      <c r="P280" s="291"/>
      <c r="Q280" s="311"/>
      <c r="R280" s="291"/>
      <c r="S280" s="291"/>
    </row>
    <row r="281" spans="1:19" ht="18.5" x14ac:dyDescent="0.45">
      <c r="A281" s="291"/>
      <c r="B281" s="291"/>
      <c r="C281" s="290"/>
      <c r="D281" s="291"/>
      <c r="E281" s="291"/>
      <c r="F281" s="291"/>
      <c r="G281" s="291"/>
      <c r="H281" s="291"/>
      <c r="I281" s="291"/>
      <c r="J281" s="291"/>
      <c r="K281" s="291"/>
      <c r="L281" s="291"/>
      <c r="M281" s="291"/>
      <c r="N281" s="291"/>
      <c r="O281" s="291"/>
      <c r="P281" s="291"/>
      <c r="Q281" s="311"/>
      <c r="R281" s="291"/>
      <c r="S281" s="291"/>
    </row>
    <row r="282" spans="1:19" ht="18.5" x14ac:dyDescent="0.45">
      <c r="A282" s="291"/>
      <c r="B282" s="291"/>
      <c r="C282" s="290"/>
      <c r="D282" s="291"/>
      <c r="E282" s="291"/>
      <c r="F282" s="291"/>
      <c r="G282" s="291"/>
      <c r="H282" s="291"/>
      <c r="I282" s="291"/>
      <c r="J282" s="291"/>
      <c r="K282" s="291"/>
      <c r="L282" s="291"/>
      <c r="M282" s="291"/>
      <c r="N282" s="291"/>
      <c r="O282" s="291"/>
      <c r="P282" s="291"/>
      <c r="Q282" s="311"/>
      <c r="R282" s="291"/>
      <c r="S282" s="291"/>
    </row>
    <row r="283" spans="1:19" ht="18.5" x14ac:dyDescent="0.45">
      <c r="A283" s="291"/>
      <c r="B283" s="291"/>
      <c r="C283" s="290"/>
      <c r="D283" s="291"/>
      <c r="E283" s="291"/>
      <c r="F283" s="291"/>
      <c r="G283" s="291"/>
      <c r="H283" s="291"/>
      <c r="I283" s="291"/>
      <c r="J283" s="291"/>
      <c r="K283" s="291"/>
      <c r="L283" s="291"/>
      <c r="M283" s="291"/>
      <c r="N283" s="291"/>
      <c r="O283" s="291"/>
      <c r="P283" s="291"/>
      <c r="Q283" s="311"/>
      <c r="R283" s="291"/>
      <c r="S283" s="291"/>
    </row>
    <row r="284" spans="1:19" ht="18.5" x14ac:dyDescent="0.45">
      <c r="A284" s="291"/>
      <c r="B284" s="291"/>
      <c r="C284" s="290"/>
      <c r="D284" s="291"/>
      <c r="E284" s="291"/>
      <c r="F284" s="291"/>
      <c r="G284" s="291"/>
      <c r="H284" s="291"/>
      <c r="I284" s="291"/>
      <c r="J284" s="291"/>
      <c r="K284" s="291"/>
      <c r="L284" s="291"/>
      <c r="M284" s="291"/>
      <c r="N284" s="291"/>
      <c r="O284" s="291"/>
      <c r="P284" s="291"/>
      <c r="Q284" s="311"/>
      <c r="R284" s="291"/>
      <c r="S284" s="291"/>
    </row>
    <row r="285" spans="1:19" ht="18.5" x14ac:dyDescent="0.45">
      <c r="A285" s="291"/>
      <c r="B285" s="291"/>
      <c r="C285" s="290"/>
      <c r="D285" s="291"/>
      <c r="E285" s="291"/>
      <c r="F285" s="291"/>
      <c r="G285" s="291"/>
      <c r="H285" s="291"/>
      <c r="I285" s="291"/>
      <c r="J285" s="291"/>
      <c r="K285" s="291"/>
      <c r="L285" s="291"/>
      <c r="M285" s="291"/>
      <c r="N285" s="291"/>
      <c r="O285" s="291"/>
      <c r="P285" s="291"/>
      <c r="Q285" s="311"/>
      <c r="R285" s="291"/>
      <c r="S285" s="291"/>
    </row>
    <row r="286" spans="1:19" ht="18.5" x14ac:dyDescent="0.45">
      <c r="A286" s="291"/>
      <c r="B286" s="291"/>
      <c r="C286" s="290"/>
      <c r="D286" s="291"/>
      <c r="E286" s="291"/>
      <c r="F286" s="291"/>
      <c r="G286" s="291"/>
      <c r="H286" s="291"/>
      <c r="I286" s="291"/>
      <c r="J286" s="291"/>
      <c r="K286" s="291"/>
      <c r="L286" s="291"/>
      <c r="M286" s="291"/>
      <c r="N286" s="291"/>
      <c r="O286" s="291"/>
      <c r="P286" s="291"/>
      <c r="Q286" s="311"/>
      <c r="R286" s="291"/>
      <c r="S286" s="291"/>
    </row>
    <row r="287" spans="1:19" ht="18.5" x14ac:dyDescent="0.45">
      <c r="A287" s="291"/>
      <c r="B287" s="291"/>
      <c r="C287" s="290"/>
      <c r="D287" s="291"/>
      <c r="E287" s="291"/>
      <c r="F287" s="291"/>
      <c r="G287" s="291"/>
      <c r="H287" s="291"/>
      <c r="I287" s="291"/>
      <c r="J287" s="291"/>
      <c r="K287" s="291"/>
      <c r="L287" s="291"/>
      <c r="M287" s="291"/>
      <c r="N287" s="291"/>
      <c r="O287" s="291"/>
      <c r="P287" s="291"/>
      <c r="Q287" s="311"/>
      <c r="R287" s="291"/>
      <c r="S287" s="291"/>
    </row>
    <row r="288" spans="1:19" ht="18.5" x14ac:dyDescent="0.45">
      <c r="A288" s="291"/>
      <c r="B288" s="291"/>
      <c r="C288" s="290"/>
      <c r="D288" s="291"/>
      <c r="E288" s="291"/>
      <c r="F288" s="291"/>
      <c r="G288" s="291"/>
      <c r="H288" s="291"/>
      <c r="I288" s="291"/>
      <c r="J288" s="291"/>
      <c r="K288" s="291"/>
      <c r="L288" s="291"/>
      <c r="M288" s="291"/>
      <c r="N288" s="291"/>
      <c r="O288" s="291"/>
      <c r="P288" s="291"/>
      <c r="Q288" s="311"/>
      <c r="R288" s="291"/>
      <c r="S288" s="291"/>
    </row>
    <row r="289" spans="1:19" ht="18.5" x14ac:dyDescent="0.45">
      <c r="A289" s="291"/>
      <c r="B289" s="291"/>
      <c r="C289" s="290"/>
      <c r="D289" s="291"/>
      <c r="E289" s="291"/>
      <c r="F289" s="291"/>
      <c r="G289" s="291"/>
      <c r="H289" s="291"/>
      <c r="I289" s="291"/>
      <c r="J289" s="291"/>
      <c r="K289" s="291"/>
      <c r="L289" s="291"/>
      <c r="M289" s="291"/>
      <c r="N289" s="291"/>
      <c r="O289" s="291"/>
      <c r="P289" s="291"/>
      <c r="Q289" s="311"/>
      <c r="R289" s="291"/>
      <c r="S289" s="291"/>
    </row>
    <row r="290" spans="1:19" ht="18.5" x14ac:dyDescent="0.45">
      <c r="A290" s="291"/>
      <c r="B290" s="291"/>
      <c r="C290" s="290"/>
      <c r="D290" s="291"/>
      <c r="E290" s="291"/>
      <c r="F290" s="291"/>
      <c r="G290" s="291"/>
      <c r="H290" s="291"/>
      <c r="I290" s="291"/>
      <c r="J290" s="291"/>
      <c r="K290" s="291"/>
      <c r="L290" s="291"/>
      <c r="M290" s="291"/>
      <c r="N290" s="291"/>
      <c r="O290" s="291"/>
      <c r="P290" s="291"/>
      <c r="Q290" s="311"/>
      <c r="R290" s="291"/>
      <c r="S290" s="291"/>
    </row>
    <row r="291" spans="1:19" ht="18.5" x14ac:dyDescent="0.45">
      <c r="A291" s="291"/>
      <c r="B291" s="291"/>
      <c r="C291" s="290"/>
      <c r="D291" s="291"/>
      <c r="E291" s="291"/>
      <c r="F291" s="291"/>
      <c r="G291" s="291"/>
      <c r="H291" s="291"/>
      <c r="I291" s="291"/>
      <c r="J291" s="291"/>
      <c r="K291" s="291"/>
      <c r="L291" s="291"/>
      <c r="M291" s="291"/>
      <c r="N291" s="291"/>
      <c r="O291" s="291"/>
      <c r="P291" s="291"/>
      <c r="Q291" s="311"/>
      <c r="R291" s="291"/>
      <c r="S291" s="291"/>
    </row>
    <row r="292" spans="1:19" ht="18.5" x14ac:dyDescent="0.45">
      <c r="A292" s="291"/>
      <c r="B292" s="291"/>
      <c r="C292" s="290"/>
      <c r="D292" s="291"/>
      <c r="E292" s="291"/>
      <c r="F292" s="291"/>
      <c r="G292" s="291"/>
      <c r="H292" s="291"/>
      <c r="I292" s="291"/>
      <c r="J292" s="291"/>
      <c r="K292" s="291"/>
      <c r="L292" s="291"/>
      <c r="M292" s="291"/>
      <c r="N292" s="291"/>
      <c r="O292" s="291"/>
      <c r="P292" s="291"/>
      <c r="Q292" s="311"/>
      <c r="R292" s="291"/>
      <c r="S292" s="291"/>
    </row>
    <row r="293" spans="1:19" ht="18.5" x14ac:dyDescent="0.45">
      <c r="A293" s="291"/>
      <c r="B293" s="291"/>
      <c r="C293" s="290"/>
      <c r="D293" s="291"/>
      <c r="E293" s="291"/>
      <c r="F293" s="291"/>
      <c r="G293" s="291"/>
      <c r="H293" s="291"/>
      <c r="I293" s="291"/>
      <c r="J293" s="291"/>
      <c r="K293" s="291"/>
      <c r="L293" s="291"/>
      <c r="M293" s="291"/>
      <c r="N293" s="291"/>
      <c r="O293" s="291"/>
      <c r="P293" s="291"/>
      <c r="Q293" s="311"/>
      <c r="R293" s="291"/>
      <c r="S293" s="291"/>
    </row>
    <row r="294" spans="1:19" ht="18.5" x14ac:dyDescent="0.45">
      <c r="A294" s="291"/>
      <c r="B294" s="291"/>
      <c r="C294" s="290"/>
      <c r="D294" s="291"/>
      <c r="E294" s="291"/>
      <c r="F294" s="291"/>
      <c r="G294" s="291"/>
      <c r="H294" s="291"/>
      <c r="I294" s="291"/>
      <c r="J294" s="291"/>
      <c r="K294" s="291"/>
      <c r="L294" s="291"/>
      <c r="M294" s="291"/>
      <c r="N294" s="291"/>
      <c r="O294" s="291"/>
      <c r="P294" s="291"/>
      <c r="Q294" s="311"/>
      <c r="R294" s="291"/>
      <c r="S294" s="291"/>
    </row>
    <row r="295" spans="1:19" ht="18.5" x14ac:dyDescent="0.45">
      <c r="A295" s="291"/>
      <c r="B295" s="291"/>
      <c r="C295" s="290"/>
      <c r="D295" s="291"/>
      <c r="E295" s="291"/>
      <c r="F295" s="291"/>
      <c r="G295" s="291"/>
      <c r="H295" s="291"/>
      <c r="I295" s="291"/>
      <c r="J295" s="291"/>
      <c r="K295" s="291"/>
      <c r="L295" s="291"/>
      <c r="M295" s="291"/>
      <c r="N295" s="291"/>
      <c r="O295" s="291"/>
      <c r="P295" s="291"/>
      <c r="Q295" s="311"/>
      <c r="R295" s="291"/>
      <c r="S295" s="291"/>
    </row>
    <row r="296" spans="1:19" ht="18.5" x14ac:dyDescent="0.45">
      <c r="A296" s="291"/>
      <c r="B296" s="291"/>
      <c r="C296" s="290"/>
      <c r="D296" s="291"/>
      <c r="E296" s="291"/>
      <c r="F296" s="291"/>
      <c r="G296" s="291"/>
      <c r="H296" s="291"/>
      <c r="I296" s="291"/>
      <c r="J296" s="291"/>
      <c r="K296" s="291"/>
      <c r="L296" s="291"/>
      <c r="M296" s="291"/>
      <c r="N296" s="291"/>
      <c r="O296" s="291"/>
      <c r="P296" s="291"/>
      <c r="Q296" s="311"/>
      <c r="R296" s="291"/>
      <c r="S296" s="291"/>
    </row>
    <row r="297" spans="1:19" ht="18.5" x14ac:dyDescent="0.45">
      <c r="A297" s="291"/>
      <c r="B297" s="291"/>
      <c r="C297" s="290"/>
      <c r="D297" s="291"/>
      <c r="E297" s="291"/>
      <c r="F297" s="291"/>
      <c r="G297" s="291"/>
      <c r="H297" s="291"/>
      <c r="I297" s="291"/>
      <c r="J297" s="291"/>
      <c r="K297" s="291"/>
      <c r="L297" s="291"/>
      <c r="M297" s="291"/>
      <c r="N297" s="291"/>
      <c r="O297" s="291"/>
      <c r="P297" s="291"/>
      <c r="Q297" s="311"/>
      <c r="R297" s="291"/>
      <c r="S297" s="291"/>
    </row>
    <row r="298" spans="1:19" ht="18.5" x14ac:dyDescent="0.45">
      <c r="A298" s="291"/>
      <c r="B298" s="291"/>
      <c r="C298" s="290"/>
      <c r="D298" s="291"/>
      <c r="E298" s="291"/>
      <c r="F298" s="291"/>
      <c r="G298" s="291"/>
      <c r="H298" s="291"/>
      <c r="I298" s="291"/>
      <c r="J298" s="291"/>
      <c r="K298" s="291"/>
      <c r="L298" s="291"/>
      <c r="M298" s="291"/>
      <c r="N298" s="291"/>
      <c r="O298" s="291"/>
      <c r="P298" s="291"/>
      <c r="Q298" s="311"/>
      <c r="R298" s="291"/>
      <c r="S298" s="291"/>
    </row>
    <row r="299" spans="1:19" ht="18.5" x14ac:dyDescent="0.45">
      <c r="A299" s="291"/>
      <c r="B299" s="291"/>
      <c r="C299" s="290"/>
      <c r="D299" s="291"/>
      <c r="E299" s="291"/>
      <c r="F299" s="291"/>
      <c r="G299" s="291"/>
      <c r="H299" s="291"/>
      <c r="I299" s="291"/>
      <c r="J299" s="291"/>
      <c r="K299" s="291"/>
      <c r="L299" s="291"/>
      <c r="M299" s="291"/>
      <c r="N299" s="291"/>
      <c r="O299" s="291"/>
      <c r="P299" s="291"/>
      <c r="Q299" s="311"/>
      <c r="R299" s="291"/>
      <c r="S299" s="291"/>
    </row>
    <row r="300" spans="1:19" ht="18.5" x14ac:dyDescent="0.45">
      <c r="A300" s="291"/>
      <c r="B300" s="291"/>
      <c r="C300" s="290"/>
      <c r="D300" s="291"/>
      <c r="E300" s="291"/>
      <c r="F300" s="291"/>
      <c r="G300" s="291"/>
      <c r="H300" s="291"/>
      <c r="I300" s="291"/>
      <c r="J300" s="291"/>
      <c r="K300" s="291"/>
      <c r="L300" s="291"/>
      <c r="M300" s="291"/>
      <c r="N300" s="291"/>
      <c r="O300" s="291"/>
      <c r="P300" s="291"/>
      <c r="Q300" s="311"/>
      <c r="R300" s="291"/>
      <c r="S300" s="291"/>
    </row>
    <row r="301" spans="1:19" ht="18.5" x14ac:dyDescent="0.45">
      <c r="A301" s="291"/>
      <c r="B301" s="291"/>
      <c r="C301" s="290"/>
      <c r="D301" s="291"/>
      <c r="E301" s="291"/>
      <c r="F301" s="291"/>
      <c r="G301" s="291"/>
      <c r="H301" s="291"/>
      <c r="I301" s="291"/>
      <c r="J301" s="291"/>
      <c r="K301" s="291"/>
      <c r="L301" s="291"/>
      <c r="M301" s="291"/>
      <c r="N301" s="291"/>
      <c r="O301" s="291"/>
      <c r="P301" s="291"/>
      <c r="Q301" s="311"/>
      <c r="R301" s="291"/>
      <c r="S301" s="291"/>
    </row>
    <row r="302" spans="1:19" ht="18.5" x14ac:dyDescent="0.45">
      <c r="A302" s="291"/>
      <c r="B302" s="291"/>
      <c r="C302" s="290"/>
      <c r="D302" s="291"/>
      <c r="E302" s="291"/>
      <c r="F302" s="291"/>
      <c r="G302" s="291"/>
      <c r="H302" s="291"/>
      <c r="I302" s="291"/>
      <c r="J302" s="291"/>
      <c r="K302" s="291"/>
      <c r="L302" s="291"/>
      <c r="M302" s="291"/>
      <c r="N302" s="291"/>
      <c r="O302" s="291"/>
      <c r="P302" s="291"/>
      <c r="Q302" s="311"/>
      <c r="R302" s="291"/>
      <c r="S302" s="291"/>
    </row>
    <row r="303" spans="1:19" ht="18.5" x14ac:dyDescent="0.45">
      <c r="A303" s="291"/>
      <c r="B303" s="291"/>
      <c r="C303" s="290"/>
      <c r="D303" s="291"/>
      <c r="E303" s="291"/>
      <c r="F303" s="291"/>
      <c r="G303" s="291"/>
      <c r="H303" s="291"/>
      <c r="I303" s="291"/>
      <c r="J303" s="291"/>
      <c r="K303" s="291"/>
      <c r="L303" s="291"/>
      <c r="M303" s="291"/>
      <c r="N303" s="291"/>
      <c r="O303" s="291"/>
      <c r="P303" s="291"/>
      <c r="Q303" s="311"/>
      <c r="R303" s="291"/>
      <c r="S303" s="291"/>
    </row>
    <row r="304" spans="1:19" ht="18.5" x14ac:dyDescent="0.45">
      <c r="A304" s="291"/>
      <c r="B304" s="291"/>
      <c r="C304" s="290"/>
      <c r="D304" s="291"/>
      <c r="E304" s="291"/>
      <c r="F304" s="291"/>
      <c r="G304" s="291"/>
      <c r="H304" s="291"/>
      <c r="I304" s="291"/>
      <c r="J304" s="291"/>
      <c r="K304" s="291"/>
      <c r="L304" s="291"/>
      <c r="M304" s="291"/>
      <c r="N304" s="291"/>
      <c r="O304" s="291"/>
      <c r="P304" s="291"/>
      <c r="Q304" s="311"/>
      <c r="R304" s="291"/>
      <c r="S304" s="291"/>
    </row>
    <row r="305" spans="1:19" ht="18.5" x14ac:dyDescent="0.45">
      <c r="A305" s="291"/>
      <c r="B305" s="291"/>
      <c r="C305" s="290"/>
      <c r="D305" s="291"/>
      <c r="E305" s="291"/>
      <c r="F305" s="291"/>
      <c r="G305" s="291"/>
      <c r="H305" s="291"/>
      <c r="I305" s="291"/>
      <c r="J305" s="291"/>
      <c r="K305" s="291"/>
      <c r="L305" s="291"/>
      <c r="M305" s="291"/>
      <c r="N305" s="291"/>
      <c r="O305" s="291"/>
      <c r="P305" s="291"/>
      <c r="Q305" s="311"/>
      <c r="R305" s="291"/>
      <c r="S305" s="291"/>
    </row>
    <row r="306" spans="1:19" ht="18.5" x14ac:dyDescent="0.45">
      <c r="A306" s="291"/>
      <c r="B306" s="291"/>
      <c r="C306" s="290"/>
      <c r="D306" s="291"/>
      <c r="E306" s="291"/>
      <c r="F306" s="291"/>
      <c r="G306" s="291"/>
      <c r="H306" s="291"/>
      <c r="I306" s="291"/>
      <c r="J306" s="291"/>
      <c r="K306" s="291"/>
      <c r="L306" s="291"/>
      <c r="M306" s="291"/>
      <c r="N306" s="291"/>
      <c r="O306" s="291"/>
      <c r="P306" s="291"/>
      <c r="Q306" s="311"/>
      <c r="R306" s="291"/>
      <c r="S306" s="291"/>
    </row>
    <row r="307" spans="1:19" ht="18.5" x14ac:dyDescent="0.45">
      <c r="A307" s="291"/>
      <c r="B307" s="291"/>
      <c r="C307" s="290"/>
      <c r="D307" s="291"/>
      <c r="E307" s="291"/>
      <c r="F307" s="291"/>
      <c r="G307" s="291"/>
      <c r="H307" s="291"/>
      <c r="I307" s="291"/>
      <c r="J307" s="291"/>
      <c r="K307" s="291"/>
      <c r="L307" s="291"/>
      <c r="M307" s="291"/>
      <c r="N307" s="291"/>
      <c r="O307" s="291"/>
      <c r="P307" s="291"/>
      <c r="Q307" s="311"/>
      <c r="R307" s="291"/>
      <c r="S307" s="291"/>
    </row>
    <row r="308" spans="1:19" ht="18.5" x14ac:dyDescent="0.45">
      <c r="A308" s="291"/>
      <c r="B308" s="291"/>
      <c r="C308" s="290"/>
      <c r="D308" s="291"/>
      <c r="E308" s="291"/>
      <c r="F308" s="291"/>
      <c r="G308" s="291"/>
      <c r="H308" s="291"/>
      <c r="I308" s="291"/>
      <c r="J308" s="291"/>
      <c r="K308" s="291"/>
      <c r="L308" s="291"/>
      <c r="M308" s="291"/>
      <c r="N308" s="291"/>
      <c r="O308" s="291"/>
      <c r="P308" s="291"/>
      <c r="Q308" s="311"/>
      <c r="R308" s="291"/>
      <c r="S308" s="291"/>
    </row>
    <row r="309" spans="1:19" ht="18.5" x14ac:dyDescent="0.45">
      <c r="A309" s="291"/>
      <c r="B309" s="291"/>
      <c r="C309" s="290"/>
      <c r="D309" s="291"/>
      <c r="E309" s="291"/>
      <c r="F309" s="291"/>
      <c r="G309" s="291"/>
      <c r="H309" s="291"/>
      <c r="I309" s="291"/>
      <c r="J309" s="291"/>
      <c r="K309" s="291"/>
      <c r="L309" s="291"/>
      <c r="M309" s="291"/>
      <c r="N309" s="291"/>
      <c r="O309" s="291"/>
      <c r="P309" s="291"/>
      <c r="Q309" s="311"/>
      <c r="R309" s="291"/>
      <c r="S309" s="291"/>
    </row>
    <row r="310" spans="1:19" ht="18.5" x14ac:dyDescent="0.45">
      <c r="A310" s="291"/>
      <c r="B310" s="291"/>
      <c r="C310" s="290"/>
      <c r="D310" s="291"/>
      <c r="E310" s="291"/>
      <c r="F310" s="291"/>
      <c r="G310" s="291"/>
      <c r="H310" s="291"/>
      <c r="I310" s="291"/>
      <c r="J310" s="291"/>
      <c r="K310" s="291"/>
      <c r="L310" s="291"/>
      <c r="M310" s="291"/>
      <c r="N310" s="291"/>
      <c r="O310" s="291"/>
      <c r="P310" s="291"/>
      <c r="Q310" s="311"/>
      <c r="R310" s="291"/>
      <c r="S310" s="291"/>
    </row>
    <row r="311" spans="1:19" ht="18.5" x14ac:dyDescent="0.45">
      <c r="A311" s="291"/>
      <c r="B311" s="291"/>
      <c r="C311" s="290"/>
      <c r="D311" s="291"/>
      <c r="E311" s="291"/>
      <c r="F311" s="291"/>
      <c r="G311" s="291"/>
      <c r="H311" s="291"/>
      <c r="I311" s="291"/>
      <c r="J311" s="291"/>
      <c r="K311" s="291"/>
      <c r="L311" s="291"/>
      <c r="M311" s="291"/>
      <c r="N311" s="291"/>
      <c r="O311" s="291"/>
      <c r="P311" s="291"/>
      <c r="Q311" s="311"/>
      <c r="R311" s="291"/>
      <c r="S311" s="291"/>
    </row>
    <row r="312" spans="1:19" ht="18.5" x14ac:dyDescent="0.45">
      <c r="A312" s="291"/>
      <c r="B312" s="291"/>
      <c r="C312" s="290"/>
      <c r="D312" s="291"/>
      <c r="E312" s="291"/>
      <c r="F312" s="291"/>
      <c r="G312" s="291"/>
      <c r="H312" s="291"/>
      <c r="I312" s="291"/>
      <c r="J312" s="291"/>
      <c r="K312" s="291"/>
      <c r="L312" s="291"/>
      <c r="M312" s="291"/>
      <c r="N312" s="291"/>
      <c r="O312" s="291"/>
      <c r="P312" s="291"/>
      <c r="Q312" s="311"/>
      <c r="R312" s="291"/>
      <c r="S312" s="291"/>
    </row>
    <row r="313" spans="1:19" ht="18.5" x14ac:dyDescent="0.45">
      <c r="A313" s="291"/>
      <c r="B313" s="291"/>
      <c r="C313" s="290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1"/>
      <c r="O313" s="291"/>
      <c r="P313" s="291"/>
      <c r="Q313" s="311"/>
      <c r="R313" s="291"/>
      <c r="S313" s="291"/>
    </row>
    <row r="314" spans="1:19" ht="18.5" x14ac:dyDescent="0.45">
      <c r="A314" s="291"/>
      <c r="B314" s="291"/>
      <c r="C314" s="290"/>
      <c r="D314" s="291"/>
      <c r="E314" s="291"/>
      <c r="F314" s="291"/>
      <c r="G314" s="291"/>
      <c r="H314" s="291"/>
      <c r="I314" s="291"/>
      <c r="J314" s="291"/>
      <c r="K314" s="291"/>
      <c r="L314" s="291"/>
      <c r="M314" s="291"/>
      <c r="N314" s="291"/>
      <c r="O314" s="291"/>
      <c r="P314" s="291"/>
      <c r="Q314" s="311"/>
      <c r="R314" s="291"/>
      <c r="S314" s="291"/>
    </row>
    <row r="315" spans="1:19" ht="18.5" x14ac:dyDescent="0.45">
      <c r="A315" s="291"/>
      <c r="B315" s="291"/>
      <c r="C315" s="290"/>
      <c r="D315" s="291"/>
      <c r="E315" s="291"/>
      <c r="F315" s="291"/>
      <c r="G315" s="291"/>
      <c r="H315" s="291"/>
      <c r="I315" s="291"/>
      <c r="J315" s="291"/>
      <c r="K315" s="291"/>
      <c r="L315" s="291"/>
      <c r="M315" s="291"/>
      <c r="N315" s="291"/>
      <c r="O315" s="291"/>
      <c r="P315" s="291"/>
      <c r="Q315" s="311"/>
      <c r="R315" s="291"/>
      <c r="S315" s="291"/>
    </row>
    <row r="316" spans="1:19" ht="18.5" x14ac:dyDescent="0.45">
      <c r="A316" s="291"/>
      <c r="B316" s="291"/>
      <c r="C316" s="290"/>
      <c r="D316" s="291"/>
      <c r="E316" s="291"/>
      <c r="F316" s="291"/>
      <c r="G316" s="291"/>
      <c r="H316" s="291"/>
      <c r="I316" s="291"/>
      <c r="J316" s="291"/>
      <c r="K316" s="291"/>
      <c r="L316" s="291"/>
      <c r="M316" s="291"/>
      <c r="N316" s="291"/>
      <c r="O316" s="291"/>
      <c r="P316" s="291"/>
      <c r="Q316" s="311"/>
      <c r="R316" s="291"/>
      <c r="S316" s="291"/>
    </row>
    <row r="317" spans="1:19" ht="18.5" x14ac:dyDescent="0.45">
      <c r="A317" s="291"/>
      <c r="B317" s="291"/>
      <c r="C317" s="290"/>
      <c r="D317" s="291"/>
      <c r="E317" s="291"/>
      <c r="F317" s="291"/>
      <c r="G317" s="291"/>
      <c r="H317" s="291"/>
      <c r="I317" s="291"/>
      <c r="J317" s="291"/>
      <c r="K317" s="291"/>
      <c r="L317" s="291"/>
      <c r="M317" s="291"/>
      <c r="N317" s="291"/>
      <c r="O317" s="291"/>
      <c r="P317" s="291"/>
      <c r="Q317" s="311"/>
      <c r="R317" s="291"/>
      <c r="S317" s="291"/>
    </row>
    <row r="318" spans="1:19" ht="18.5" x14ac:dyDescent="0.45">
      <c r="A318" s="291"/>
      <c r="B318" s="291"/>
      <c r="C318" s="290"/>
      <c r="D318" s="291"/>
      <c r="E318" s="291"/>
      <c r="F318" s="291"/>
      <c r="G318" s="291"/>
      <c r="H318" s="291"/>
      <c r="I318" s="291"/>
      <c r="J318" s="291"/>
      <c r="K318" s="291"/>
      <c r="L318" s="291"/>
      <c r="M318" s="291"/>
      <c r="N318" s="291"/>
      <c r="O318" s="291"/>
      <c r="P318" s="291"/>
      <c r="Q318" s="311"/>
      <c r="R318" s="291"/>
      <c r="S318" s="291"/>
    </row>
    <row r="319" spans="1:19" ht="18.5" x14ac:dyDescent="0.45">
      <c r="A319" s="291"/>
      <c r="B319" s="291"/>
      <c r="C319" s="290"/>
      <c r="D319" s="291"/>
      <c r="E319" s="291"/>
      <c r="F319" s="291"/>
      <c r="G319" s="291"/>
      <c r="H319" s="291"/>
      <c r="I319" s="291"/>
      <c r="J319" s="291"/>
      <c r="K319" s="291"/>
      <c r="L319" s="291"/>
      <c r="M319" s="291"/>
      <c r="N319" s="291"/>
      <c r="O319" s="291"/>
      <c r="P319" s="291"/>
      <c r="Q319" s="311"/>
      <c r="R319" s="291"/>
      <c r="S319" s="291"/>
    </row>
    <row r="320" spans="1:19" ht="18.5" x14ac:dyDescent="0.45">
      <c r="A320" s="291"/>
      <c r="B320" s="291"/>
      <c r="C320" s="290"/>
      <c r="D320" s="291"/>
      <c r="E320" s="291"/>
      <c r="F320" s="291"/>
      <c r="G320" s="291"/>
      <c r="H320" s="291"/>
      <c r="I320" s="291"/>
      <c r="J320" s="291"/>
      <c r="K320" s="291"/>
      <c r="L320" s="291"/>
      <c r="M320" s="291"/>
      <c r="N320" s="291"/>
      <c r="O320" s="291"/>
      <c r="P320" s="291"/>
      <c r="Q320" s="311"/>
      <c r="R320" s="291"/>
      <c r="S320" s="291"/>
    </row>
    <row r="321" spans="1:19" ht="18.5" x14ac:dyDescent="0.45">
      <c r="A321" s="291"/>
      <c r="B321" s="291"/>
      <c r="C321" s="290"/>
      <c r="D321" s="291"/>
      <c r="E321" s="291"/>
      <c r="F321" s="291"/>
      <c r="G321" s="291"/>
      <c r="H321" s="291"/>
      <c r="I321" s="291"/>
      <c r="J321" s="291"/>
      <c r="K321" s="291"/>
      <c r="L321" s="291"/>
      <c r="M321" s="291"/>
      <c r="N321" s="291"/>
      <c r="O321" s="291"/>
      <c r="P321" s="291"/>
      <c r="Q321" s="311"/>
      <c r="R321" s="291"/>
      <c r="S321" s="291"/>
    </row>
    <row r="322" spans="1:19" ht="18.5" x14ac:dyDescent="0.45">
      <c r="A322" s="291"/>
      <c r="B322" s="291"/>
      <c r="C322" s="290"/>
      <c r="D322" s="291"/>
      <c r="E322" s="291"/>
      <c r="F322" s="291"/>
      <c r="G322" s="291"/>
      <c r="H322" s="291"/>
      <c r="I322" s="291"/>
      <c r="J322" s="291"/>
      <c r="K322" s="291"/>
      <c r="L322" s="291"/>
      <c r="M322" s="291"/>
      <c r="N322" s="291"/>
      <c r="O322" s="291"/>
      <c r="P322" s="291"/>
      <c r="Q322" s="311"/>
      <c r="R322" s="291"/>
      <c r="S322" s="291"/>
    </row>
    <row r="323" spans="1:19" ht="18.5" x14ac:dyDescent="0.45">
      <c r="A323" s="291"/>
      <c r="B323" s="291"/>
      <c r="C323" s="290"/>
      <c r="D323" s="291"/>
      <c r="E323" s="291"/>
      <c r="F323" s="291"/>
      <c r="G323" s="291"/>
      <c r="H323" s="291"/>
      <c r="I323" s="291"/>
      <c r="J323" s="291"/>
      <c r="K323" s="291"/>
      <c r="L323" s="291"/>
      <c r="M323" s="291"/>
      <c r="N323" s="291"/>
      <c r="O323" s="291"/>
      <c r="P323" s="291"/>
      <c r="Q323" s="311"/>
      <c r="R323" s="291"/>
      <c r="S323" s="291"/>
    </row>
    <row r="324" spans="1:19" ht="18.5" x14ac:dyDescent="0.45">
      <c r="A324" s="291"/>
      <c r="B324" s="291"/>
      <c r="C324" s="290"/>
      <c r="D324" s="291"/>
      <c r="E324" s="291"/>
      <c r="F324" s="291"/>
      <c r="G324" s="291"/>
      <c r="H324" s="291"/>
      <c r="I324" s="291"/>
      <c r="J324" s="291"/>
      <c r="K324" s="291"/>
      <c r="L324" s="291"/>
      <c r="M324" s="291"/>
      <c r="N324" s="291"/>
      <c r="O324" s="291"/>
      <c r="P324" s="291"/>
      <c r="Q324" s="311"/>
      <c r="R324" s="291"/>
      <c r="S324" s="291"/>
    </row>
    <row r="325" spans="1:19" ht="18.5" x14ac:dyDescent="0.45">
      <c r="A325" s="291"/>
      <c r="B325" s="291"/>
      <c r="C325" s="290"/>
      <c r="D325" s="291"/>
      <c r="E325" s="291"/>
      <c r="F325" s="291"/>
      <c r="G325" s="291"/>
      <c r="H325" s="291"/>
      <c r="I325" s="291"/>
      <c r="J325" s="291"/>
      <c r="K325" s="291"/>
      <c r="L325" s="291"/>
      <c r="M325" s="291"/>
      <c r="N325" s="291"/>
      <c r="O325" s="291"/>
      <c r="P325" s="291"/>
      <c r="Q325" s="311"/>
      <c r="R325" s="291"/>
      <c r="S325" s="291"/>
    </row>
    <row r="326" spans="1:19" ht="18.5" x14ac:dyDescent="0.45">
      <c r="A326" s="291"/>
      <c r="B326" s="291"/>
      <c r="C326" s="290"/>
      <c r="D326" s="291"/>
      <c r="E326" s="291"/>
      <c r="F326" s="291"/>
      <c r="G326" s="291"/>
      <c r="H326" s="291"/>
      <c r="I326" s="291"/>
      <c r="J326" s="291"/>
      <c r="K326" s="291"/>
      <c r="L326" s="291"/>
      <c r="M326" s="291"/>
      <c r="N326" s="291"/>
      <c r="O326" s="291"/>
      <c r="P326" s="291"/>
      <c r="Q326" s="311"/>
      <c r="R326" s="291"/>
      <c r="S326" s="291"/>
    </row>
    <row r="327" spans="1:19" ht="18.5" x14ac:dyDescent="0.45">
      <c r="A327" s="291"/>
      <c r="B327" s="291"/>
      <c r="C327" s="290"/>
      <c r="D327" s="291"/>
      <c r="E327" s="291"/>
      <c r="F327" s="291"/>
      <c r="G327" s="291"/>
      <c r="H327" s="291"/>
      <c r="I327" s="291"/>
      <c r="J327" s="291"/>
      <c r="K327" s="291"/>
      <c r="L327" s="291"/>
      <c r="M327" s="291"/>
      <c r="N327" s="291"/>
      <c r="O327" s="291"/>
      <c r="P327" s="291"/>
      <c r="Q327" s="311"/>
      <c r="R327" s="291"/>
      <c r="S327" s="291"/>
    </row>
    <row r="328" spans="1:19" ht="18.5" x14ac:dyDescent="0.45">
      <c r="A328" s="291"/>
      <c r="B328" s="291"/>
      <c r="C328" s="290"/>
      <c r="D328" s="291"/>
      <c r="E328" s="291"/>
      <c r="F328" s="291"/>
      <c r="G328" s="291"/>
      <c r="H328" s="291"/>
      <c r="I328" s="291"/>
      <c r="J328" s="291"/>
      <c r="K328" s="291"/>
      <c r="L328" s="291"/>
      <c r="M328" s="291"/>
      <c r="N328" s="291"/>
      <c r="O328" s="291"/>
      <c r="P328" s="291"/>
      <c r="Q328" s="311"/>
      <c r="R328" s="291"/>
      <c r="S328" s="291"/>
    </row>
    <row r="329" spans="1:19" ht="18.5" x14ac:dyDescent="0.45">
      <c r="A329" s="291"/>
      <c r="B329" s="291"/>
      <c r="C329" s="290"/>
      <c r="D329" s="291"/>
      <c r="E329" s="291"/>
      <c r="F329" s="291"/>
      <c r="G329" s="291"/>
      <c r="H329" s="291"/>
      <c r="I329" s="291"/>
      <c r="J329" s="291"/>
      <c r="K329" s="291"/>
      <c r="L329" s="291"/>
      <c r="M329" s="291"/>
      <c r="N329" s="291"/>
      <c r="O329" s="291"/>
      <c r="P329" s="291"/>
      <c r="Q329" s="311"/>
      <c r="R329" s="291"/>
      <c r="S329" s="291"/>
    </row>
    <row r="330" spans="1:19" ht="18.5" x14ac:dyDescent="0.45">
      <c r="A330" s="291"/>
      <c r="B330" s="291"/>
      <c r="C330" s="290"/>
      <c r="D330" s="291"/>
      <c r="E330" s="291"/>
      <c r="F330" s="291"/>
      <c r="G330" s="291"/>
      <c r="H330" s="291"/>
      <c r="I330" s="291"/>
      <c r="J330" s="291"/>
      <c r="K330" s="291"/>
      <c r="L330" s="291"/>
      <c r="M330" s="291"/>
      <c r="N330" s="291"/>
      <c r="O330" s="291"/>
      <c r="P330" s="291"/>
      <c r="Q330" s="311"/>
      <c r="R330" s="291"/>
      <c r="S330" s="291"/>
    </row>
    <row r="331" spans="1:19" ht="18.5" x14ac:dyDescent="0.45">
      <c r="A331" s="291"/>
      <c r="B331" s="291"/>
      <c r="C331" s="290"/>
      <c r="D331" s="291"/>
      <c r="E331" s="291"/>
      <c r="F331" s="291"/>
      <c r="G331" s="291"/>
      <c r="H331" s="291"/>
      <c r="I331" s="291"/>
      <c r="J331" s="291"/>
      <c r="K331" s="291"/>
      <c r="L331" s="291"/>
      <c r="M331" s="291"/>
      <c r="N331" s="291"/>
      <c r="O331" s="291"/>
      <c r="P331" s="291"/>
      <c r="Q331" s="311"/>
      <c r="R331" s="291"/>
      <c r="S331" s="291"/>
    </row>
    <row r="332" spans="1:19" ht="18.5" x14ac:dyDescent="0.45">
      <c r="A332" s="291"/>
      <c r="B332" s="291"/>
      <c r="C332" s="290"/>
      <c r="D332" s="291"/>
      <c r="E332" s="291"/>
      <c r="F332" s="291"/>
      <c r="G332" s="291"/>
      <c r="H332" s="291"/>
      <c r="I332" s="291"/>
      <c r="J332" s="291"/>
      <c r="K332" s="291"/>
      <c r="L332" s="291"/>
      <c r="M332" s="291"/>
      <c r="N332" s="291"/>
      <c r="O332" s="291"/>
      <c r="P332" s="291"/>
      <c r="Q332" s="311"/>
      <c r="R332" s="291"/>
      <c r="S332" s="291"/>
    </row>
    <row r="333" spans="1:19" ht="18.5" x14ac:dyDescent="0.45">
      <c r="A333" s="291"/>
      <c r="B333" s="291"/>
      <c r="C333" s="290"/>
      <c r="D333" s="291"/>
      <c r="E333" s="291"/>
      <c r="F333" s="291"/>
      <c r="G333" s="291"/>
      <c r="H333" s="291"/>
      <c r="I333" s="291"/>
      <c r="J333" s="291"/>
      <c r="K333" s="291"/>
      <c r="L333" s="291"/>
      <c r="M333" s="291"/>
      <c r="N333" s="291"/>
      <c r="O333" s="291"/>
      <c r="P333" s="291"/>
      <c r="Q333" s="311"/>
      <c r="R333" s="291"/>
      <c r="S333" s="291"/>
    </row>
    <row r="334" spans="1:19" ht="18.5" x14ac:dyDescent="0.45">
      <c r="A334" s="291"/>
      <c r="B334" s="291"/>
      <c r="C334" s="290"/>
      <c r="D334" s="291"/>
      <c r="E334" s="291"/>
      <c r="F334" s="291"/>
      <c r="G334" s="291"/>
      <c r="H334" s="291"/>
      <c r="I334" s="291"/>
      <c r="J334" s="291"/>
      <c r="K334" s="291"/>
      <c r="L334" s="291"/>
      <c r="M334" s="291"/>
      <c r="N334" s="291"/>
      <c r="O334" s="291"/>
      <c r="P334" s="291"/>
      <c r="Q334" s="311"/>
      <c r="R334" s="291"/>
      <c r="S334" s="291"/>
    </row>
    <row r="335" spans="1:19" ht="18.5" x14ac:dyDescent="0.45">
      <c r="A335" s="291"/>
      <c r="B335" s="291"/>
      <c r="C335" s="290"/>
      <c r="D335" s="291"/>
      <c r="E335" s="291"/>
      <c r="F335" s="291"/>
      <c r="G335" s="291"/>
      <c r="H335" s="291"/>
      <c r="I335" s="291"/>
      <c r="J335" s="291"/>
      <c r="K335" s="291"/>
      <c r="L335" s="291"/>
      <c r="M335" s="291"/>
      <c r="N335" s="291"/>
      <c r="O335" s="291"/>
      <c r="P335" s="291"/>
      <c r="Q335" s="311"/>
      <c r="R335" s="291"/>
      <c r="S335" s="291"/>
    </row>
    <row r="336" spans="1:19" ht="18.5" x14ac:dyDescent="0.45">
      <c r="A336" s="291"/>
      <c r="B336" s="291"/>
      <c r="C336" s="290"/>
      <c r="D336" s="291"/>
      <c r="E336" s="291"/>
      <c r="F336" s="291"/>
      <c r="G336" s="291"/>
      <c r="H336" s="291"/>
      <c r="I336" s="291"/>
      <c r="J336" s="291"/>
      <c r="K336" s="291"/>
      <c r="L336" s="291"/>
      <c r="M336" s="291"/>
      <c r="N336" s="291"/>
      <c r="O336" s="291"/>
      <c r="P336" s="291"/>
      <c r="Q336" s="311"/>
      <c r="R336" s="291"/>
      <c r="S336" s="291"/>
    </row>
    <row r="337" spans="1:19" ht="18.5" x14ac:dyDescent="0.45">
      <c r="A337" s="291"/>
      <c r="B337" s="291"/>
      <c r="C337" s="290"/>
      <c r="D337" s="291"/>
      <c r="E337" s="291"/>
      <c r="F337" s="291"/>
      <c r="G337" s="291"/>
      <c r="H337" s="291"/>
      <c r="I337" s="291"/>
      <c r="J337" s="291"/>
      <c r="K337" s="291"/>
      <c r="L337" s="291"/>
      <c r="M337" s="291"/>
      <c r="N337" s="291"/>
      <c r="O337" s="291"/>
      <c r="P337" s="291"/>
      <c r="Q337" s="311"/>
      <c r="R337" s="291"/>
      <c r="S337" s="291"/>
    </row>
    <row r="338" spans="1:19" ht="18.5" x14ac:dyDescent="0.45">
      <c r="A338" s="291"/>
      <c r="B338" s="291"/>
      <c r="C338" s="290"/>
      <c r="D338" s="291"/>
      <c r="E338" s="291"/>
      <c r="F338" s="291"/>
      <c r="G338" s="291"/>
      <c r="H338" s="291"/>
      <c r="I338" s="291"/>
      <c r="J338" s="291"/>
      <c r="K338" s="291"/>
      <c r="L338" s="291"/>
      <c r="M338" s="291"/>
      <c r="N338" s="291"/>
      <c r="O338" s="291"/>
      <c r="P338" s="291"/>
      <c r="Q338" s="311"/>
      <c r="R338" s="291"/>
      <c r="S338" s="291"/>
    </row>
    <row r="339" spans="1:19" ht="18.5" x14ac:dyDescent="0.45">
      <c r="A339" s="291"/>
      <c r="B339" s="291"/>
      <c r="C339" s="290"/>
      <c r="D339" s="291"/>
      <c r="E339" s="291"/>
      <c r="F339" s="291"/>
      <c r="G339" s="291"/>
      <c r="H339" s="291"/>
      <c r="I339" s="291"/>
      <c r="J339" s="291"/>
      <c r="K339" s="291"/>
      <c r="L339" s="291"/>
      <c r="M339" s="291"/>
      <c r="N339" s="291"/>
      <c r="O339" s="291"/>
      <c r="P339" s="291"/>
      <c r="Q339" s="311"/>
      <c r="R339" s="291"/>
      <c r="S339" s="291"/>
    </row>
    <row r="340" spans="1:19" ht="18.5" x14ac:dyDescent="0.45">
      <c r="A340" s="291"/>
      <c r="B340" s="291"/>
      <c r="C340" s="290"/>
      <c r="D340" s="291"/>
      <c r="E340" s="291"/>
      <c r="F340" s="291"/>
      <c r="G340" s="291"/>
      <c r="H340" s="291"/>
      <c r="I340" s="291"/>
      <c r="J340" s="291"/>
      <c r="K340" s="291"/>
      <c r="L340" s="291"/>
      <c r="M340" s="291"/>
      <c r="N340" s="291"/>
      <c r="O340" s="291"/>
      <c r="P340" s="291"/>
      <c r="Q340" s="311"/>
      <c r="R340" s="291"/>
      <c r="S340" s="291"/>
    </row>
    <row r="341" spans="1:19" ht="18.5" x14ac:dyDescent="0.45">
      <c r="A341" s="291"/>
      <c r="B341" s="291"/>
      <c r="C341" s="290"/>
      <c r="D341" s="291"/>
      <c r="E341" s="291"/>
      <c r="F341" s="291"/>
      <c r="G341" s="291"/>
      <c r="H341" s="291"/>
      <c r="I341" s="291"/>
      <c r="J341" s="291"/>
      <c r="K341" s="291"/>
      <c r="L341" s="291"/>
      <c r="M341" s="291"/>
      <c r="N341" s="291"/>
      <c r="O341" s="291"/>
      <c r="P341" s="291"/>
      <c r="Q341" s="311"/>
      <c r="R341" s="291"/>
      <c r="S341" s="291"/>
    </row>
    <row r="342" spans="1:19" ht="18.5" x14ac:dyDescent="0.45">
      <c r="A342" s="291"/>
      <c r="B342" s="291"/>
      <c r="C342" s="290"/>
      <c r="D342" s="291"/>
      <c r="E342" s="291"/>
      <c r="F342" s="291"/>
      <c r="G342" s="291"/>
      <c r="H342" s="291"/>
      <c r="I342" s="291"/>
      <c r="J342" s="291"/>
      <c r="K342" s="291"/>
      <c r="L342" s="291"/>
      <c r="M342" s="291"/>
      <c r="N342" s="291"/>
      <c r="O342" s="291"/>
      <c r="P342" s="291"/>
      <c r="Q342" s="311"/>
      <c r="R342" s="291"/>
      <c r="S342" s="291"/>
    </row>
    <row r="343" spans="1:19" ht="18.5" x14ac:dyDescent="0.45">
      <c r="A343" s="291"/>
      <c r="B343" s="291"/>
      <c r="C343" s="290"/>
      <c r="D343" s="291"/>
      <c r="E343" s="291"/>
      <c r="F343" s="291"/>
      <c r="G343" s="291"/>
      <c r="H343" s="291"/>
      <c r="I343" s="291"/>
      <c r="J343" s="291"/>
      <c r="K343" s="291"/>
      <c r="L343" s="291"/>
      <c r="M343" s="291"/>
      <c r="N343" s="291"/>
      <c r="O343" s="291"/>
      <c r="P343" s="291"/>
      <c r="Q343" s="311"/>
      <c r="R343" s="291"/>
      <c r="S343" s="291"/>
    </row>
    <row r="344" spans="1:19" ht="18.5" x14ac:dyDescent="0.45">
      <c r="A344" s="291"/>
      <c r="B344" s="291"/>
      <c r="C344" s="290"/>
      <c r="D344" s="291"/>
      <c r="E344" s="291"/>
      <c r="F344" s="291"/>
      <c r="G344" s="291"/>
      <c r="H344" s="291"/>
      <c r="I344" s="291"/>
      <c r="J344" s="291"/>
      <c r="K344" s="291"/>
      <c r="L344" s="291"/>
      <c r="M344" s="291"/>
      <c r="N344" s="291"/>
      <c r="O344" s="291"/>
      <c r="P344" s="291"/>
      <c r="Q344" s="311"/>
      <c r="R344" s="291"/>
      <c r="S344" s="291"/>
    </row>
    <row r="345" spans="1:19" ht="18.5" x14ac:dyDescent="0.45">
      <c r="A345" s="291"/>
      <c r="B345" s="291"/>
      <c r="C345" s="290"/>
      <c r="D345" s="291"/>
      <c r="E345" s="291"/>
      <c r="F345" s="291"/>
      <c r="G345" s="291"/>
      <c r="H345" s="291"/>
      <c r="I345" s="291"/>
      <c r="J345" s="291"/>
      <c r="K345" s="291"/>
      <c r="L345" s="291"/>
      <c r="M345" s="291"/>
      <c r="N345" s="291"/>
      <c r="O345" s="291"/>
      <c r="P345" s="291"/>
      <c r="Q345" s="311"/>
      <c r="R345" s="291"/>
      <c r="S345" s="291"/>
    </row>
    <row r="346" spans="1:19" ht="18.5" x14ac:dyDescent="0.45">
      <c r="A346" s="291"/>
      <c r="B346" s="291"/>
      <c r="C346" s="290"/>
      <c r="D346" s="291"/>
      <c r="E346" s="291"/>
      <c r="F346" s="291"/>
      <c r="G346" s="291"/>
      <c r="H346" s="291"/>
      <c r="I346" s="291"/>
      <c r="J346" s="291"/>
      <c r="K346" s="291"/>
      <c r="L346" s="291"/>
      <c r="M346" s="291"/>
      <c r="N346" s="291"/>
      <c r="O346" s="291"/>
      <c r="P346" s="291"/>
      <c r="Q346" s="311"/>
      <c r="R346" s="291"/>
      <c r="S346" s="291"/>
    </row>
    <row r="347" spans="1:19" ht="18.5" x14ac:dyDescent="0.45">
      <c r="A347" s="291"/>
      <c r="B347" s="291"/>
      <c r="C347" s="290"/>
      <c r="D347" s="291"/>
      <c r="E347" s="291"/>
      <c r="F347" s="291"/>
      <c r="G347" s="291"/>
      <c r="H347" s="291"/>
      <c r="I347" s="291"/>
      <c r="J347" s="291"/>
      <c r="K347" s="291"/>
      <c r="L347" s="291"/>
      <c r="M347" s="291"/>
      <c r="N347" s="291"/>
      <c r="O347" s="291"/>
      <c r="P347" s="291"/>
      <c r="Q347" s="311"/>
      <c r="R347" s="291"/>
      <c r="S347" s="291"/>
    </row>
    <row r="348" spans="1:19" ht="18.5" x14ac:dyDescent="0.45">
      <c r="A348" s="291"/>
      <c r="B348" s="291"/>
      <c r="C348" s="290"/>
      <c r="D348" s="291"/>
      <c r="E348" s="291"/>
      <c r="F348" s="291"/>
      <c r="G348" s="291"/>
      <c r="H348" s="291"/>
      <c r="I348" s="291"/>
      <c r="J348" s="291"/>
      <c r="K348" s="291"/>
      <c r="L348" s="291"/>
      <c r="M348" s="291"/>
      <c r="N348" s="291"/>
      <c r="O348" s="291"/>
      <c r="P348" s="291"/>
      <c r="Q348" s="311"/>
      <c r="R348" s="291"/>
      <c r="S348" s="291"/>
    </row>
    <row r="349" spans="1:19" ht="18.5" x14ac:dyDescent="0.45">
      <c r="A349" s="291"/>
      <c r="B349" s="291"/>
      <c r="C349" s="290"/>
      <c r="D349" s="291"/>
      <c r="E349" s="291"/>
      <c r="F349" s="291"/>
      <c r="G349" s="291"/>
      <c r="H349" s="291"/>
      <c r="I349" s="291"/>
      <c r="J349" s="291"/>
      <c r="K349" s="291"/>
      <c r="L349" s="291"/>
      <c r="M349" s="291"/>
      <c r="N349" s="291"/>
      <c r="O349" s="291"/>
      <c r="P349" s="291"/>
      <c r="Q349" s="311"/>
      <c r="R349" s="291"/>
      <c r="S349" s="291"/>
    </row>
    <row r="350" spans="1:19" ht="18.5" x14ac:dyDescent="0.45">
      <c r="A350" s="291"/>
      <c r="B350" s="291"/>
      <c r="C350" s="290"/>
      <c r="D350" s="291"/>
      <c r="E350" s="291"/>
      <c r="F350" s="291"/>
      <c r="G350" s="291"/>
      <c r="H350" s="291"/>
      <c r="I350" s="291"/>
      <c r="J350" s="291"/>
      <c r="K350" s="291"/>
      <c r="L350" s="291"/>
      <c r="M350" s="291"/>
      <c r="N350" s="291"/>
      <c r="O350" s="291"/>
      <c r="P350" s="291"/>
      <c r="Q350" s="311"/>
      <c r="R350" s="291"/>
      <c r="S350" s="291"/>
    </row>
    <row r="351" spans="1:19" ht="18.5" x14ac:dyDescent="0.45">
      <c r="A351" s="291"/>
      <c r="B351" s="291"/>
      <c r="C351" s="290"/>
      <c r="D351" s="291"/>
      <c r="E351" s="291"/>
      <c r="F351" s="291"/>
      <c r="G351" s="291"/>
      <c r="H351" s="291"/>
      <c r="I351" s="291"/>
      <c r="J351" s="291"/>
      <c r="K351" s="291"/>
      <c r="L351" s="291"/>
      <c r="M351" s="291"/>
      <c r="N351" s="291"/>
      <c r="O351" s="291"/>
      <c r="P351" s="291"/>
      <c r="Q351" s="311"/>
      <c r="R351" s="291"/>
      <c r="S351" s="291"/>
    </row>
    <row r="352" spans="1:19" ht="18.5" x14ac:dyDescent="0.45">
      <c r="A352" s="291"/>
      <c r="B352" s="291"/>
      <c r="C352" s="290"/>
      <c r="D352" s="291"/>
      <c r="E352" s="291"/>
      <c r="F352" s="291"/>
      <c r="G352" s="291"/>
      <c r="H352" s="291"/>
      <c r="I352" s="291"/>
      <c r="J352" s="291"/>
      <c r="K352" s="291"/>
      <c r="L352" s="291"/>
      <c r="M352" s="291"/>
      <c r="N352" s="291"/>
      <c r="O352" s="291"/>
      <c r="P352" s="291"/>
      <c r="Q352" s="311"/>
      <c r="R352" s="291"/>
      <c r="S352" s="291"/>
    </row>
    <row r="353" spans="1:19" ht="18.5" x14ac:dyDescent="0.45">
      <c r="A353" s="291"/>
      <c r="B353" s="291"/>
      <c r="C353" s="290"/>
      <c r="D353" s="291"/>
      <c r="E353" s="291"/>
      <c r="F353" s="291"/>
      <c r="G353" s="291"/>
      <c r="H353" s="291"/>
      <c r="I353" s="291"/>
      <c r="J353" s="291"/>
      <c r="K353" s="291"/>
      <c r="L353" s="291"/>
      <c r="M353" s="291"/>
      <c r="N353" s="291"/>
      <c r="O353" s="291"/>
      <c r="P353" s="291"/>
      <c r="Q353" s="311"/>
      <c r="R353" s="291"/>
      <c r="S353" s="291"/>
    </row>
    <row r="354" spans="1:19" ht="18.5" x14ac:dyDescent="0.45">
      <c r="A354" s="291"/>
      <c r="B354" s="291"/>
      <c r="C354" s="290"/>
      <c r="D354" s="291"/>
      <c r="E354" s="291"/>
      <c r="F354" s="291"/>
      <c r="G354" s="291"/>
      <c r="H354" s="291"/>
      <c r="I354" s="291"/>
      <c r="J354" s="291"/>
      <c r="K354" s="291"/>
      <c r="L354" s="291"/>
      <c r="M354" s="291"/>
      <c r="N354" s="291"/>
      <c r="O354" s="291"/>
      <c r="P354" s="291"/>
      <c r="Q354" s="311"/>
      <c r="R354" s="291"/>
      <c r="S354" s="291"/>
    </row>
    <row r="355" spans="1:19" ht="18.5" x14ac:dyDescent="0.45">
      <c r="A355" s="291"/>
      <c r="B355" s="291"/>
      <c r="C355" s="290"/>
      <c r="D355" s="291"/>
      <c r="E355" s="291"/>
      <c r="F355" s="291"/>
      <c r="G355" s="291"/>
      <c r="H355" s="291"/>
      <c r="I355" s="291"/>
      <c r="J355" s="291"/>
      <c r="K355" s="291"/>
      <c r="L355" s="291"/>
      <c r="M355" s="291"/>
      <c r="N355" s="291"/>
      <c r="O355" s="291"/>
      <c r="P355" s="291"/>
      <c r="Q355" s="311"/>
      <c r="R355" s="291"/>
      <c r="S355" s="291"/>
    </row>
    <row r="356" spans="1:19" ht="18.5" x14ac:dyDescent="0.45">
      <c r="A356" s="291"/>
      <c r="B356" s="291"/>
      <c r="C356" s="290"/>
      <c r="D356" s="291"/>
      <c r="E356" s="291"/>
      <c r="F356" s="291"/>
      <c r="G356" s="291"/>
      <c r="H356" s="291"/>
      <c r="I356" s="291"/>
      <c r="J356" s="291"/>
      <c r="K356" s="291"/>
      <c r="L356" s="291"/>
      <c r="M356" s="291"/>
      <c r="N356" s="291"/>
      <c r="O356" s="291"/>
      <c r="P356" s="291"/>
      <c r="Q356" s="311"/>
      <c r="R356" s="291"/>
      <c r="S356" s="291"/>
    </row>
    <row r="357" spans="1:19" ht="18.5" x14ac:dyDescent="0.45">
      <c r="A357" s="291"/>
      <c r="B357" s="291"/>
      <c r="C357" s="290"/>
      <c r="D357" s="291"/>
      <c r="E357" s="291"/>
      <c r="F357" s="291"/>
      <c r="G357" s="291"/>
      <c r="H357" s="291"/>
      <c r="I357" s="291"/>
      <c r="J357" s="291"/>
      <c r="K357" s="291"/>
      <c r="L357" s="291"/>
      <c r="M357" s="291"/>
      <c r="N357" s="291"/>
      <c r="O357" s="291"/>
      <c r="P357" s="291"/>
      <c r="Q357" s="311"/>
      <c r="R357" s="291"/>
      <c r="S357" s="291"/>
    </row>
    <row r="358" spans="1:19" ht="18.5" x14ac:dyDescent="0.45">
      <c r="A358" s="291"/>
      <c r="B358" s="291"/>
      <c r="C358" s="290"/>
      <c r="D358" s="291"/>
      <c r="E358" s="291"/>
      <c r="F358" s="291"/>
      <c r="G358" s="291"/>
      <c r="H358" s="291"/>
      <c r="I358" s="291"/>
      <c r="J358" s="291"/>
      <c r="K358" s="291"/>
      <c r="L358" s="291"/>
      <c r="M358" s="291"/>
      <c r="N358" s="291"/>
      <c r="O358" s="291"/>
      <c r="P358" s="291"/>
      <c r="Q358" s="311"/>
      <c r="R358" s="291"/>
      <c r="S358" s="291"/>
    </row>
    <row r="359" spans="1:19" ht="18.5" x14ac:dyDescent="0.45">
      <c r="A359" s="291"/>
      <c r="B359" s="291"/>
      <c r="C359" s="290"/>
      <c r="D359" s="291"/>
      <c r="E359" s="291"/>
      <c r="F359" s="291"/>
      <c r="G359" s="291"/>
      <c r="H359" s="291"/>
      <c r="I359" s="291"/>
      <c r="J359" s="291"/>
      <c r="K359" s="291"/>
      <c r="L359" s="291"/>
      <c r="M359" s="291"/>
      <c r="N359" s="291"/>
      <c r="O359" s="291"/>
      <c r="P359" s="291"/>
      <c r="Q359" s="311"/>
      <c r="R359" s="291"/>
      <c r="S359" s="291"/>
    </row>
    <row r="360" spans="1:19" ht="18.5" x14ac:dyDescent="0.45">
      <c r="A360" s="291"/>
      <c r="B360" s="291"/>
      <c r="C360" s="290"/>
      <c r="D360" s="291"/>
      <c r="E360" s="291"/>
      <c r="F360" s="291"/>
      <c r="G360" s="291"/>
      <c r="H360" s="291"/>
      <c r="I360" s="291"/>
      <c r="J360" s="291"/>
      <c r="K360" s="291"/>
      <c r="L360" s="291"/>
      <c r="M360" s="291"/>
      <c r="N360" s="291"/>
      <c r="O360" s="291"/>
      <c r="P360" s="291"/>
      <c r="Q360" s="311"/>
      <c r="R360" s="291"/>
      <c r="S360" s="291"/>
    </row>
    <row r="361" spans="1:19" ht="18.5" x14ac:dyDescent="0.45">
      <c r="A361" s="291"/>
      <c r="B361" s="291"/>
      <c r="C361" s="290"/>
      <c r="D361" s="291"/>
      <c r="E361" s="291"/>
      <c r="F361" s="291"/>
      <c r="G361" s="291"/>
      <c r="H361" s="291"/>
      <c r="I361" s="291"/>
      <c r="J361" s="291"/>
      <c r="K361" s="291"/>
      <c r="L361" s="291"/>
      <c r="M361" s="291"/>
      <c r="N361" s="291"/>
      <c r="O361" s="291"/>
      <c r="P361" s="291"/>
      <c r="Q361" s="311"/>
      <c r="R361" s="291"/>
      <c r="S361" s="291"/>
    </row>
    <row r="362" spans="1:19" ht="18.5" x14ac:dyDescent="0.45">
      <c r="A362" s="291"/>
      <c r="B362" s="291"/>
      <c r="C362" s="290"/>
      <c r="D362" s="291"/>
      <c r="E362" s="291"/>
      <c r="F362" s="291"/>
      <c r="G362" s="291"/>
      <c r="H362" s="291"/>
      <c r="I362" s="291"/>
      <c r="J362" s="291"/>
      <c r="K362" s="291"/>
      <c r="L362" s="291"/>
      <c r="M362" s="291"/>
      <c r="N362" s="291"/>
      <c r="O362" s="291"/>
      <c r="P362" s="291"/>
      <c r="Q362" s="311"/>
      <c r="R362" s="291"/>
      <c r="S362" s="291"/>
    </row>
    <row r="363" spans="1:19" ht="18.5" x14ac:dyDescent="0.45">
      <c r="A363" s="291"/>
      <c r="B363" s="291"/>
      <c r="C363" s="290"/>
      <c r="D363" s="291"/>
      <c r="E363" s="291"/>
      <c r="F363" s="291"/>
      <c r="G363" s="291"/>
      <c r="H363" s="291"/>
      <c r="I363" s="291"/>
      <c r="J363" s="291"/>
      <c r="K363" s="291"/>
      <c r="L363" s="291"/>
      <c r="M363" s="291"/>
      <c r="N363" s="291"/>
      <c r="O363" s="291"/>
      <c r="P363" s="291"/>
      <c r="Q363" s="311"/>
      <c r="R363" s="291"/>
      <c r="S363" s="291"/>
    </row>
    <row r="364" spans="1:19" ht="18.5" x14ac:dyDescent="0.45">
      <c r="A364" s="291"/>
      <c r="B364" s="291"/>
      <c r="C364" s="290"/>
      <c r="D364" s="291"/>
      <c r="E364" s="291"/>
      <c r="F364" s="291"/>
      <c r="G364" s="291"/>
      <c r="H364" s="291"/>
      <c r="I364" s="291"/>
      <c r="J364" s="291"/>
      <c r="K364" s="291"/>
      <c r="L364" s="291"/>
      <c r="M364" s="291"/>
      <c r="N364" s="291"/>
      <c r="O364" s="291"/>
      <c r="P364" s="291"/>
      <c r="Q364" s="311"/>
      <c r="R364" s="291"/>
      <c r="S364" s="291"/>
    </row>
    <row r="365" spans="1:19" ht="18.5" x14ac:dyDescent="0.45">
      <c r="A365" s="291"/>
      <c r="B365" s="291"/>
      <c r="C365" s="290"/>
      <c r="D365" s="291"/>
      <c r="E365" s="291"/>
      <c r="F365" s="291"/>
      <c r="G365" s="291"/>
      <c r="H365" s="291"/>
      <c r="I365" s="291"/>
      <c r="J365" s="291"/>
      <c r="K365" s="291"/>
      <c r="L365" s="291"/>
      <c r="M365" s="291"/>
      <c r="N365" s="291"/>
      <c r="O365" s="291"/>
      <c r="P365" s="291"/>
      <c r="Q365" s="311"/>
      <c r="R365" s="291"/>
      <c r="S365" s="291"/>
    </row>
    <row r="366" spans="1:19" ht="18.5" x14ac:dyDescent="0.45">
      <c r="A366" s="291"/>
      <c r="B366" s="291"/>
      <c r="C366" s="290"/>
      <c r="D366" s="291"/>
      <c r="E366" s="291"/>
      <c r="F366" s="291"/>
      <c r="G366" s="291"/>
      <c r="H366" s="291"/>
      <c r="I366" s="291"/>
      <c r="J366" s="291"/>
      <c r="K366" s="291"/>
      <c r="L366" s="291"/>
      <c r="M366" s="291"/>
      <c r="N366" s="291"/>
      <c r="O366" s="291"/>
      <c r="P366" s="291"/>
      <c r="Q366" s="311"/>
      <c r="R366" s="291"/>
      <c r="S366" s="291"/>
    </row>
    <row r="367" spans="1:19" ht="18.5" x14ac:dyDescent="0.45">
      <c r="A367" s="291"/>
      <c r="B367" s="291"/>
      <c r="C367" s="290"/>
      <c r="D367" s="291"/>
      <c r="E367" s="291"/>
      <c r="F367" s="291"/>
      <c r="G367" s="291"/>
      <c r="H367" s="291"/>
      <c r="I367" s="291"/>
      <c r="J367" s="291"/>
      <c r="K367" s="291"/>
      <c r="L367" s="291"/>
      <c r="M367" s="291"/>
      <c r="N367" s="291"/>
      <c r="O367" s="291"/>
      <c r="P367" s="291"/>
      <c r="Q367" s="311"/>
      <c r="R367" s="291"/>
      <c r="S367" s="291"/>
    </row>
    <row r="368" spans="1:19" ht="18.5" x14ac:dyDescent="0.45">
      <c r="A368" s="291"/>
      <c r="B368" s="291"/>
      <c r="C368" s="290"/>
      <c r="D368" s="291"/>
      <c r="E368" s="291"/>
      <c r="F368" s="291"/>
      <c r="G368" s="291"/>
      <c r="H368" s="291"/>
      <c r="I368" s="291"/>
      <c r="J368" s="291"/>
      <c r="K368" s="291"/>
      <c r="L368" s="291"/>
      <c r="M368" s="291"/>
      <c r="N368" s="291"/>
      <c r="O368" s="291"/>
      <c r="P368" s="291"/>
      <c r="Q368" s="311"/>
      <c r="R368" s="291"/>
      <c r="S368" s="291"/>
    </row>
    <row r="369" spans="1:19" ht="18.5" x14ac:dyDescent="0.45">
      <c r="A369" s="291"/>
      <c r="B369" s="291"/>
      <c r="C369" s="290"/>
      <c r="D369" s="291"/>
      <c r="E369" s="291"/>
      <c r="F369" s="291"/>
      <c r="G369" s="291"/>
      <c r="H369" s="291"/>
      <c r="I369" s="291"/>
      <c r="J369" s="291"/>
      <c r="K369" s="291"/>
      <c r="L369" s="291"/>
      <c r="M369" s="291"/>
      <c r="N369" s="291"/>
      <c r="O369" s="291"/>
      <c r="P369" s="291"/>
      <c r="Q369" s="311"/>
      <c r="R369" s="291"/>
      <c r="S369" s="291"/>
    </row>
    <row r="370" spans="1:19" ht="18.5" x14ac:dyDescent="0.45">
      <c r="A370" s="291"/>
      <c r="B370" s="291"/>
      <c r="C370" s="290"/>
      <c r="D370" s="291"/>
      <c r="E370" s="291"/>
      <c r="F370" s="291"/>
      <c r="G370" s="291"/>
      <c r="H370" s="291"/>
      <c r="I370" s="291"/>
      <c r="J370" s="291"/>
      <c r="K370" s="291"/>
      <c r="L370" s="291"/>
      <c r="M370" s="291"/>
      <c r="N370" s="291"/>
      <c r="O370" s="291"/>
      <c r="P370" s="291"/>
      <c r="Q370" s="311"/>
      <c r="R370" s="291"/>
      <c r="S370" s="291"/>
    </row>
    <row r="371" spans="1:19" ht="18.5" x14ac:dyDescent="0.45">
      <c r="A371" s="291"/>
      <c r="B371" s="291"/>
      <c r="C371" s="290"/>
      <c r="D371" s="291"/>
      <c r="E371" s="291"/>
      <c r="F371" s="291"/>
      <c r="G371" s="291"/>
      <c r="H371" s="291"/>
      <c r="I371" s="291"/>
      <c r="J371" s="291"/>
      <c r="K371" s="291"/>
      <c r="L371" s="291"/>
      <c r="M371" s="291"/>
      <c r="N371" s="291"/>
      <c r="O371" s="291"/>
      <c r="P371" s="291"/>
      <c r="Q371" s="311"/>
      <c r="R371" s="291"/>
      <c r="S371" s="291"/>
    </row>
    <row r="372" spans="1:19" ht="18.5" x14ac:dyDescent="0.45">
      <c r="A372" s="291"/>
      <c r="B372" s="291"/>
      <c r="C372" s="290"/>
      <c r="D372" s="291"/>
      <c r="E372" s="291"/>
      <c r="F372" s="291"/>
      <c r="G372" s="291"/>
      <c r="H372" s="291"/>
      <c r="I372" s="291"/>
      <c r="J372" s="291"/>
      <c r="K372" s="291"/>
      <c r="L372" s="291"/>
      <c r="M372" s="291"/>
      <c r="N372" s="291"/>
      <c r="O372" s="291"/>
      <c r="P372" s="291"/>
      <c r="Q372" s="311"/>
      <c r="R372" s="291"/>
      <c r="S372" s="291"/>
    </row>
    <row r="373" spans="1:19" ht="18.5" x14ac:dyDescent="0.45">
      <c r="A373" s="291"/>
      <c r="B373" s="291"/>
      <c r="C373" s="290"/>
      <c r="D373" s="291"/>
      <c r="E373" s="291"/>
      <c r="F373" s="291"/>
      <c r="G373" s="291"/>
      <c r="H373" s="291"/>
      <c r="I373" s="291"/>
      <c r="J373" s="291"/>
      <c r="K373" s="291"/>
      <c r="L373" s="291"/>
      <c r="M373" s="291"/>
      <c r="N373" s="291"/>
      <c r="O373" s="291"/>
      <c r="P373" s="291"/>
      <c r="Q373" s="311"/>
      <c r="R373" s="291"/>
      <c r="S373" s="291"/>
    </row>
    <row r="374" spans="1:19" ht="18.5" x14ac:dyDescent="0.45">
      <c r="A374" s="291"/>
      <c r="B374" s="291"/>
      <c r="C374" s="290"/>
      <c r="D374" s="291"/>
      <c r="E374" s="291"/>
      <c r="F374" s="291"/>
      <c r="G374" s="291"/>
      <c r="H374" s="291"/>
      <c r="I374" s="291"/>
      <c r="J374" s="291"/>
      <c r="K374" s="291"/>
      <c r="L374" s="291"/>
      <c r="M374" s="291"/>
      <c r="N374" s="291"/>
      <c r="O374" s="291"/>
      <c r="P374" s="291"/>
      <c r="Q374" s="311"/>
      <c r="R374" s="291"/>
      <c r="S374" s="291"/>
    </row>
    <row r="375" spans="1:19" ht="18.5" x14ac:dyDescent="0.45">
      <c r="A375" s="291"/>
      <c r="B375" s="291"/>
      <c r="C375" s="290"/>
      <c r="D375" s="291"/>
      <c r="E375" s="291"/>
      <c r="F375" s="291"/>
      <c r="G375" s="291"/>
      <c r="H375" s="291"/>
      <c r="I375" s="291"/>
      <c r="J375" s="291"/>
      <c r="K375" s="291"/>
      <c r="L375" s="291"/>
      <c r="M375" s="291"/>
      <c r="N375" s="291"/>
      <c r="O375" s="291"/>
      <c r="P375" s="291"/>
      <c r="Q375" s="311"/>
      <c r="R375" s="291"/>
      <c r="S375" s="291"/>
    </row>
    <row r="376" spans="1:19" ht="18.5" x14ac:dyDescent="0.45">
      <c r="A376" s="291"/>
      <c r="B376" s="291"/>
      <c r="C376" s="290"/>
      <c r="D376" s="291"/>
      <c r="E376" s="291"/>
      <c r="F376" s="291"/>
      <c r="G376" s="291"/>
      <c r="H376" s="291"/>
      <c r="I376" s="291"/>
      <c r="J376" s="291"/>
      <c r="K376" s="291"/>
      <c r="L376" s="291"/>
      <c r="M376" s="291"/>
      <c r="N376" s="291"/>
      <c r="O376" s="291"/>
      <c r="P376" s="291"/>
      <c r="Q376" s="311"/>
      <c r="R376" s="291"/>
      <c r="S376" s="291"/>
    </row>
    <row r="377" spans="1:19" ht="18.5" x14ac:dyDescent="0.45">
      <c r="A377" s="291"/>
      <c r="B377" s="291"/>
      <c r="C377" s="290"/>
      <c r="D377" s="291"/>
      <c r="E377" s="291"/>
      <c r="F377" s="291"/>
      <c r="G377" s="291"/>
      <c r="H377" s="291"/>
      <c r="I377" s="291"/>
      <c r="J377" s="291"/>
      <c r="K377" s="291"/>
      <c r="L377" s="291"/>
      <c r="M377" s="291"/>
      <c r="N377" s="291"/>
      <c r="O377" s="291"/>
      <c r="P377" s="291"/>
      <c r="Q377" s="311"/>
      <c r="R377" s="291"/>
      <c r="S377" s="291"/>
    </row>
    <row r="378" spans="1:19" ht="18.5" x14ac:dyDescent="0.45">
      <c r="A378" s="291"/>
      <c r="B378" s="291"/>
      <c r="C378" s="290"/>
      <c r="D378" s="291"/>
      <c r="E378" s="291"/>
      <c r="F378" s="291"/>
      <c r="G378" s="291"/>
      <c r="H378" s="291"/>
      <c r="I378" s="291"/>
      <c r="J378" s="291"/>
      <c r="K378" s="291"/>
      <c r="L378" s="291"/>
      <c r="M378" s="291"/>
      <c r="N378" s="291"/>
      <c r="O378" s="291"/>
      <c r="P378" s="291"/>
      <c r="Q378" s="311"/>
      <c r="R378" s="291"/>
      <c r="S378" s="291"/>
    </row>
    <row r="379" spans="1:19" ht="18.5" x14ac:dyDescent="0.45">
      <c r="A379" s="291"/>
      <c r="B379" s="291"/>
      <c r="C379" s="290"/>
      <c r="D379" s="291"/>
      <c r="E379" s="291"/>
      <c r="F379" s="291"/>
      <c r="G379" s="291"/>
      <c r="H379" s="291"/>
      <c r="I379" s="291"/>
      <c r="J379" s="291"/>
      <c r="K379" s="291"/>
      <c r="L379" s="291"/>
      <c r="M379" s="291"/>
      <c r="N379" s="291"/>
      <c r="O379" s="291"/>
      <c r="P379" s="291"/>
      <c r="Q379" s="311"/>
      <c r="R379" s="291"/>
      <c r="S379" s="291"/>
    </row>
    <row r="380" spans="1:19" ht="18.5" x14ac:dyDescent="0.45">
      <c r="A380" s="291"/>
      <c r="B380" s="291"/>
      <c r="C380" s="290"/>
      <c r="D380" s="291"/>
      <c r="E380" s="291"/>
      <c r="F380" s="291"/>
      <c r="G380" s="291"/>
      <c r="H380" s="291"/>
      <c r="I380" s="291"/>
      <c r="J380" s="291"/>
      <c r="K380" s="291"/>
      <c r="L380" s="291"/>
      <c r="M380" s="291"/>
      <c r="N380" s="291"/>
      <c r="O380" s="291"/>
      <c r="P380" s="291"/>
      <c r="Q380" s="311"/>
      <c r="R380" s="291"/>
      <c r="S380" s="291"/>
    </row>
    <row r="381" spans="1:19" ht="18.5" x14ac:dyDescent="0.45">
      <c r="A381" s="291"/>
      <c r="B381" s="291"/>
      <c r="C381" s="290"/>
      <c r="D381" s="291"/>
      <c r="E381" s="291"/>
      <c r="F381" s="291"/>
      <c r="G381" s="291"/>
      <c r="H381" s="291"/>
      <c r="I381" s="291"/>
      <c r="J381" s="291"/>
      <c r="K381" s="291"/>
      <c r="L381" s="291"/>
      <c r="M381" s="291"/>
      <c r="N381" s="291"/>
      <c r="O381" s="291"/>
      <c r="P381" s="291"/>
      <c r="Q381" s="311"/>
      <c r="R381" s="291"/>
      <c r="S381" s="291"/>
    </row>
    <row r="382" spans="1:19" ht="18.5" x14ac:dyDescent="0.45">
      <c r="A382" s="291"/>
      <c r="B382" s="291"/>
      <c r="C382" s="290"/>
      <c r="D382" s="291"/>
      <c r="E382" s="291"/>
      <c r="F382" s="291"/>
      <c r="G382" s="291"/>
      <c r="H382" s="291"/>
      <c r="I382" s="291"/>
      <c r="J382" s="291"/>
      <c r="K382" s="291"/>
      <c r="L382" s="291"/>
      <c r="M382" s="291"/>
      <c r="N382" s="291"/>
      <c r="O382" s="291"/>
      <c r="P382" s="291"/>
      <c r="Q382" s="311"/>
      <c r="R382" s="291"/>
      <c r="S382" s="291"/>
    </row>
    <row r="383" spans="1:19" ht="18.5" x14ac:dyDescent="0.45">
      <c r="A383" s="291"/>
      <c r="B383" s="291"/>
      <c r="C383" s="290"/>
      <c r="D383" s="291"/>
      <c r="E383" s="291"/>
      <c r="F383" s="291"/>
      <c r="G383" s="291"/>
      <c r="H383" s="291"/>
      <c r="I383" s="291"/>
      <c r="J383" s="291"/>
      <c r="K383" s="291"/>
      <c r="L383" s="291"/>
      <c r="M383" s="291"/>
      <c r="N383" s="291"/>
      <c r="O383" s="291"/>
      <c r="P383" s="291"/>
      <c r="Q383" s="311"/>
      <c r="R383" s="291"/>
      <c r="S383" s="291"/>
    </row>
    <row r="384" spans="1:19" ht="18.5" x14ac:dyDescent="0.45">
      <c r="A384" s="291"/>
      <c r="B384" s="291"/>
      <c r="C384" s="290"/>
      <c r="D384" s="291"/>
      <c r="E384" s="291"/>
      <c r="F384" s="291"/>
      <c r="G384" s="291"/>
      <c r="H384" s="291"/>
      <c r="I384" s="291"/>
      <c r="J384" s="291"/>
      <c r="K384" s="291"/>
      <c r="L384" s="291"/>
      <c r="M384" s="291"/>
      <c r="N384" s="291"/>
      <c r="O384" s="291"/>
      <c r="P384" s="291"/>
      <c r="Q384" s="311"/>
      <c r="R384" s="291"/>
      <c r="S384" s="291"/>
    </row>
    <row r="385" spans="1:19" ht="18.5" x14ac:dyDescent="0.45">
      <c r="A385" s="291"/>
      <c r="B385" s="291"/>
      <c r="C385" s="290"/>
      <c r="D385" s="291"/>
      <c r="E385" s="291"/>
      <c r="F385" s="291"/>
      <c r="G385" s="291"/>
      <c r="H385" s="291"/>
      <c r="I385" s="291"/>
      <c r="J385" s="291"/>
      <c r="K385" s="291"/>
      <c r="L385" s="291"/>
      <c r="M385" s="291"/>
      <c r="N385" s="291"/>
      <c r="O385" s="291"/>
      <c r="P385" s="291"/>
      <c r="Q385" s="311"/>
      <c r="R385" s="291"/>
      <c r="S385" s="291"/>
    </row>
    <row r="386" spans="1:19" ht="18.5" x14ac:dyDescent="0.45">
      <c r="A386" s="291"/>
      <c r="B386" s="291"/>
      <c r="C386" s="290"/>
      <c r="D386" s="291"/>
      <c r="E386" s="291"/>
      <c r="F386" s="291"/>
      <c r="G386" s="291"/>
      <c r="H386" s="291"/>
      <c r="I386" s="291"/>
      <c r="J386" s="291"/>
      <c r="K386" s="291"/>
      <c r="L386" s="291"/>
      <c r="M386" s="291"/>
      <c r="N386" s="291"/>
      <c r="O386" s="291"/>
      <c r="P386" s="291"/>
      <c r="Q386" s="311"/>
      <c r="R386" s="291"/>
      <c r="S386" s="291"/>
    </row>
    <row r="387" spans="1:19" ht="18.5" x14ac:dyDescent="0.45">
      <c r="A387" s="291"/>
      <c r="B387" s="291"/>
      <c r="C387" s="290"/>
      <c r="D387" s="291"/>
      <c r="E387" s="291"/>
      <c r="F387" s="291"/>
      <c r="G387" s="291"/>
      <c r="H387" s="291"/>
      <c r="I387" s="291"/>
      <c r="J387" s="291"/>
      <c r="K387" s="291"/>
      <c r="L387" s="291"/>
      <c r="M387" s="291"/>
      <c r="N387" s="291"/>
      <c r="O387" s="291"/>
      <c r="P387" s="291"/>
      <c r="Q387" s="311"/>
      <c r="R387" s="291"/>
      <c r="S387" s="291"/>
    </row>
    <row r="388" spans="1:19" ht="18.5" x14ac:dyDescent="0.45">
      <c r="A388" s="291"/>
      <c r="B388" s="291"/>
      <c r="C388" s="290"/>
      <c r="D388" s="291"/>
      <c r="E388" s="291"/>
      <c r="F388" s="291"/>
      <c r="G388" s="291"/>
      <c r="H388" s="291"/>
      <c r="I388" s="291"/>
      <c r="J388" s="291"/>
      <c r="K388" s="291"/>
      <c r="L388" s="291"/>
      <c r="M388" s="291"/>
      <c r="N388" s="291"/>
      <c r="O388" s="291"/>
      <c r="P388" s="291"/>
      <c r="Q388" s="311"/>
      <c r="R388" s="291"/>
      <c r="S388" s="291"/>
    </row>
    <row r="389" spans="1:19" ht="18.5" x14ac:dyDescent="0.45">
      <c r="A389" s="291"/>
      <c r="B389" s="291"/>
      <c r="C389" s="290"/>
      <c r="D389" s="291"/>
      <c r="E389" s="291"/>
      <c r="F389" s="291"/>
      <c r="G389" s="291"/>
      <c r="H389" s="291"/>
      <c r="I389" s="291"/>
      <c r="J389" s="291"/>
      <c r="K389" s="291"/>
      <c r="L389" s="291"/>
      <c r="M389" s="291"/>
      <c r="N389" s="291"/>
      <c r="O389" s="291"/>
      <c r="P389" s="291"/>
      <c r="Q389" s="311"/>
      <c r="R389" s="291"/>
      <c r="S389" s="291"/>
    </row>
    <row r="390" spans="1:19" ht="18.5" x14ac:dyDescent="0.45">
      <c r="A390" s="291"/>
      <c r="B390" s="291"/>
      <c r="C390" s="290"/>
      <c r="D390" s="291"/>
      <c r="E390" s="291"/>
      <c r="F390" s="291"/>
      <c r="G390" s="291"/>
      <c r="H390" s="291"/>
      <c r="I390" s="291"/>
      <c r="J390" s="291"/>
      <c r="K390" s="291"/>
      <c r="L390" s="291"/>
      <c r="M390" s="291"/>
      <c r="N390" s="291"/>
      <c r="O390" s="291"/>
      <c r="P390" s="291"/>
      <c r="Q390" s="311"/>
      <c r="R390" s="291"/>
      <c r="S390" s="291"/>
    </row>
    <row r="391" spans="1:19" ht="18.5" x14ac:dyDescent="0.45">
      <c r="A391" s="291"/>
      <c r="B391" s="291"/>
      <c r="C391" s="290"/>
      <c r="D391" s="291"/>
      <c r="E391" s="291"/>
      <c r="F391" s="291"/>
      <c r="G391" s="291"/>
      <c r="H391" s="291"/>
      <c r="I391" s="291"/>
      <c r="J391" s="291"/>
      <c r="K391" s="291"/>
      <c r="L391" s="291"/>
      <c r="M391" s="291"/>
      <c r="N391" s="291"/>
      <c r="O391" s="291"/>
      <c r="P391" s="291"/>
      <c r="Q391" s="311"/>
      <c r="R391" s="291"/>
      <c r="S391" s="291"/>
    </row>
    <row r="392" spans="1:19" ht="18.5" x14ac:dyDescent="0.45">
      <c r="A392" s="291"/>
      <c r="B392" s="291"/>
      <c r="C392" s="290"/>
      <c r="D392" s="291"/>
      <c r="E392" s="291"/>
      <c r="F392" s="291"/>
      <c r="G392" s="291"/>
      <c r="H392" s="291"/>
      <c r="I392" s="291"/>
      <c r="J392" s="291"/>
      <c r="K392" s="291"/>
      <c r="L392" s="291"/>
      <c r="M392" s="291"/>
      <c r="N392" s="291"/>
      <c r="O392" s="291"/>
      <c r="P392" s="291"/>
      <c r="Q392" s="311"/>
      <c r="R392" s="291"/>
      <c r="S392" s="291"/>
    </row>
    <row r="393" spans="1:19" ht="18.5" x14ac:dyDescent="0.45">
      <c r="A393" s="291"/>
      <c r="B393" s="291"/>
      <c r="C393" s="290"/>
      <c r="D393" s="291"/>
      <c r="E393" s="291"/>
      <c r="F393" s="291"/>
      <c r="G393" s="291"/>
      <c r="H393" s="291"/>
      <c r="I393" s="291"/>
      <c r="J393" s="291"/>
      <c r="K393" s="291"/>
      <c r="L393" s="291"/>
      <c r="M393" s="291"/>
      <c r="N393" s="291"/>
      <c r="O393" s="291"/>
      <c r="P393" s="291"/>
      <c r="Q393" s="311"/>
      <c r="R393" s="291"/>
      <c r="S393" s="291"/>
    </row>
    <row r="394" spans="1:19" ht="18.5" x14ac:dyDescent="0.45">
      <c r="A394" s="291"/>
      <c r="B394" s="291"/>
      <c r="C394" s="290"/>
      <c r="D394" s="291"/>
      <c r="E394" s="291"/>
      <c r="F394" s="291"/>
      <c r="G394" s="291"/>
      <c r="H394" s="291"/>
      <c r="I394" s="291"/>
      <c r="J394" s="291"/>
      <c r="K394" s="291"/>
      <c r="L394" s="291"/>
      <c r="M394" s="291"/>
      <c r="N394" s="291"/>
      <c r="O394" s="291"/>
      <c r="P394" s="291"/>
      <c r="Q394" s="311"/>
      <c r="R394" s="291"/>
      <c r="S394" s="291"/>
    </row>
    <row r="395" spans="1:19" ht="18.5" x14ac:dyDescent="0.45">
      <c r="A395" s="291"/>
      <c r="B395" s="291"/>
      <c r="C395" s="290"/>
      <c r="D395" s="291"/>
      <c r="E395" s="291"/>
      <c r="F395" s="291"/>
      <c r="G395" s="291"/>
      <c r="H395" s="291"/>
      <c r="I395" s="291"/>
      <c r="J395" s="291"/>
      <c r="K395" s="291"/>
      <c r="L395" s="291"/>
      <c r="M395" s="291"/>
      <c r="N395" s="291"/>
      <c r="O395" s="291"/>
      <c r="P395" s="291"/>
      <c r="Q395" s="311"/>
      <c r="R395" s="291"/>
      <c r="S395" s="291"/>
    </row>
    <row r="396" spans="1:19" ht="18.5" x14ac:dyDescent="0.45">
      <c r="A396" s="291"/>
      <c r="B396" s="291"/>
      <c r="C396" s="290"/>
      <c r="D396" s="291"/>
      <c r="E396" s="291"/>
      <c r="F396" s="291"/>
      <c r="G396" s="291"/>
      <c r="H396" s="291"/>
      <c r="I396" s="291"/>
      <c r="J396" s="291"/>
      <c r="K396" s="291"/>
      <c r="L396" s="291"/>
      <c r="M396" s="291"/>
      <c r="N396" s="291"/>
      <c r="O396" s="291"/>
      <c r="P396" s="291"/>
      <c r="Q396" s="311"/>
      <c r="R396" s="291"/>
      <c r="S396" s="291"/>
    </row>
    <row r="397" spans="1:19" ht="18.5" x14ac:dyDescent="0.45">
      <c r="A397" s="291"/>
      <c r="B397" s="291"/>
      <c r="C397" s="290"/>
      <c r="D397" s="291"/>
      <c r="E397" s="291"/>
      <c r="F397" s="291"/>
      <c r="G397" s="291"/>
      <c r="H397" s="291"/>
      <c r="I397" s="291"/>
      <c r="J397" s="291"/>
      <c r="K397" s="291"/>
      <c r="L397" s="291"/>
      <c r="M397" s="291"/>
      <c r="N397" s="291"/>
      <c r="O397" s="291"/>
      <c r="P397" s="291"/>
      <c r="Q397" s="311"/>
      <c r="R397" s="291"/>
      <c r="S397" s="291"/>
    </row>
    <row r="398" spans="1:19" ht="18.5" x14ac:dyDescent="0.45">
      <c r="A398" s="291"/>
      <c r="B398" s="291"/>
      <c r="C398" s="290"/>
      <c r="D398" s="291"/>
      <c r="E398" s="291"/>
      <c r="F398" s="291"/>
      <c r="G398" s="291"/>
      <c r="H398" s="291"/>
      <c r="I398" s="291"/>
      <c r="J398" s="291"/>
      <c r="K398" s="291"/>
      <c r="L398" s="291"/>
      <c r="M398" s="291"/>
      <c r="N398" s="291"/>
      <c r="O398" s="291"/>
      <c r="P398" s="291"/>
      <c r="Q398" s="311"/>
      <c r="R398" s="291"/>
      <c r="S398" s="291"/>
    </row>
    <row r="399" spans="1:19" ht="18.5" x14ac:dyDescent="0.45">
      <c r="A399" s="291"/>
      <c r="B399" s="291"/>
      <c r="C399" s="290"/>
      <c r="D399" s="291"/>
      <c r="E399" s="291"/>
      <c r="F399" s="291"/>
      <c r="G399" s="291"/>
      <c r="H399" s="291"/>
      <c r="I399" s="291"/>
      <c r="J399" s="291"/>
      <c r="K399" s="291"/>
      <c r="L399" s="291"/>
      <c r="M399" s="291"/>
      <c r="N399" s="291"/>
      <c r="O399" s="291"/>
      <c r="P399" s="291"/>
      <c r="Q399" s="311"/>
      <c r="R399" s="291"/>
      <c r="S399" s="291"/>
    </row>
    <row r="400" spans="1:19" ht="18.5" x14ac:dyDescent="0.45">
      <c r="A400" s="291"/>
      <c r="B400" s="291"/>
      <c r="C400" s="290"/>
      <c r="D400" s="291"/>
      <c r="E400" s="291"/>
      <c r="F400" s="291"/>
      <c r="G400" s="291"/>
      <c r="H400" s="291"/>
      <c r="I400" s="291"/>
      <c r="J400" s="291"/>
      <c r="K400" s="291"/>
      <c r="L400" s="291"/>
      <c r="M400" s="291"/>
      <c r="N400" s="291"/>
      <c r="O400" s="291"/>
      <c r="P400" s="291"/>
      <c r="Q400" s="311"/>
      <c r="R400" s="291"/>
      <c r="S400" s="291"/>
    </row>
    <row r="401" spans="1:19" ht="18.5" x14ac:dyDescent="0.45">
      <c r="A401" s="291"/>
      <c r="B401" s="291"/>
      <c r="C401" s="290"/>
      <c r="D401" s="291"/>
      <c r="E401" s="291"/>
      <c r="F401" s="291"/>
      <c r="G401" s="291"/>
      <c r="H401" s="291"/>
      <c r="I401" s="291"/>
      <c r="J401" s="291"/>
      <c r="K401" s="291"/>
      <c r="L401" s="291"/>
      <c r="M401" s="291"/>
      <c r="N401" s="291"/>
      <c r="O401" s="291"/>
      <c r="P401" s="291"/>
      <c r="Q401" s="311"/>
      <c r="R401" s="291"/>
      <c r="S401" s="291"/>
    </row>
    <row r="402" spans="1:19" ht="18.5" x14ac:dyDescent="0.45">
      <c r="A402" s="291"/>
      <c r="B402" s="291"/>
      <c r="C402" s="290"/>
      <c r="D402" s="291"/>
      <c r="E402" s="291"/>
      <c r="F402" s="291"/>
      <c r="G402" s="291"/>
      <c r="H402" s="291"/>
      <c r="I402" s="291"/>
      <c r="J402" s="291"/>
      <c r="K402" s="291"/>
      <c r="L402" s="291"/>
      <c r="M402" s="291"/>
      <c r="N402" s="291"/>
      <c r="O402" s="291"/>
      <c r="P402" s="291"/>
      <c r="Q402" s="311"/>
      <c r="R402" s="291"/>
      <c r="S402" s="291"/>
    </row>
    <row r="403" spans="1:19" ht="18.5" x14ac:dyDescent="0.45">
      <c r="A403" s="291"/>
      <c r="B403" s="291"/>
      <c r="C403" s="290"/>
      <c r="D403" s="291"/>
      <c r="E403" s="291"/>
      <c r="F403" s="291"/>
      <c r="G403" s="291"/>
      <c r="H403" s="291"/>
      <c r="I403" s="291"/>
      <c r="J403" s="291"/>
      <c r="K403" s="291"/>
      <c r="L403" s="291"/>
      <c r="M403" s="291"/>
      <c r="N403" s="291"/>
      <c r="O403" s="291"/>
      <c r="P403" s="291"/>
      <c r="Q403" s="311"/>
      <c r="R403" s="291"/>
      <c r="S403" s="291"/>
    </row>
    <row r="404" spans="1:19" ht="18.5" x14ac:dyDescent="0.45">
      <c r="A404" s="291"/>
      <c r="B404" s="291"/>
      <c r="C404" s="290"/>
      <c r="D404" s="291"/>
      <c r="E404" s="291"/>
      <c r="F404" s="291"/>
      <c r="G404" s="291"/>
      <c r="H404" s="291"/>
      <c r="I404" s="291"/>
      <c r="J404" s="291"/>
      <c r="K404" s="291"/>
      <c r="L404" s="291"/>
      <c r="M404" s="291"/>
      <c r="N404" s="291"/>
      <c r="O404" s="291"/>
      <c r="P404" s="291"/>
      <c r="Q404" s="311"/>
      <c r="R404" s="291"/>
      <c r="S404" s="291"/>
    </row>
    <row r="405" spans="1:19" ht="18.5" x14ac:dyDescent="0.45">
      <c r="A405" s="291"/>
      <c r="B405" s="291"/>
      <c r="C405" s="290"/>
      <c r="D405" s="291"/>
      <c r="E405" s="291"/>
      <c r="F405" s="291"/>
      <c r="G405" s="291"/>
      <c r="H405" s="291"/>
      <c r="I405" s="291"/>
      <c r="J405" s="291"/>
      <c r="K405" s="291"/>
      <c r="L405" s="291"/>
      <c r="M405" s="291"/>
      <c r="N405" s="291"/>
      <c r="O405" s="291"/>
      <c r="P405" s="291"/>
      <c r="Q405" s="311"/>
      <c r="R405" s="291"/>
      <c r="S405" s="291"/>
    </row>
    <row r="406" spans="1:19" ht="18.5" x14ac:dyDescent="0.45">
      <c r="A406" s="291"/>
      <c r="B406" s="291"/>
      <c r="C406" s="290"/>
      <c r="D406" s="291"/>
      <c r="E406" s="291"/>
      <c r="F406" s="291"/>
      <c r="G406" s="291"/>
      <c r="H406" s="291"/>
      <c r="I406" s="291"/>
      <c r="J406" s="291"/>
      <c r="K406" s="291"/>
      <c r="L406" s="291"/>
      <c r="M406" s="291"/>
      <c r="N406" s="291"/>
      <c r="O406" s="291"/>
      <c r="P406" s="291"/>
      <c r="Q406" s="311"/>
      <c r="R406" s="291"/>
      <c r="S406" s="291"/>
    </row>
    <row r="407" spans="1:19" ht="18.5" x14ac:dyDescent="0.45">
      <c r="A407" s="291"/>
      <c r="B407" s="291"/>
      <c r="C407" s="290"/>
      <c r="D407" s="291"/>
      <c r="E407" s="291"/>
      <c r="F407" s="291"/>
      <c r="G407" s="291"/>
      <c r="H407" s="291"/>
      <c r="I407" s="291"/>
      <c r="J407" s="291"/>
      <c r="K407" s="291"/>
      <c r="L407" s="291"/>
      <c r="M407" s="291"/>
      <c r="N407" s="291"/>
      <c r="O407" s="291"/>
      <c r="P407" s="291"/>
      <c r="Q407" s="311"/>
      <c r="R407" s="291"/>
      <c r="S407" s="291"/>
    </row>
    <row r="408" spans="1:19" ht="18.5" x14ac:dyDescent="0.45">
      <c r="A408" s="291"/>
      <c r="B408" s="291"/>
      <c r="C408" s="290"/>
      <c r="D408" s="291"/>
      <c r="E408" s="291"/>
      <c r="F408" s="291"/>
      <c r="G408" s="291"/>
      <c r="H408" s="291"/>
      <c r="I408" s="291"/>
      <c r="J408" s="291"/>
      <c r="K408" s="291"/>
      <c r="L408" s="291"/>
      <c r="M408" s="291"/>
      <c r="N408" s="291"/>
      <c r="O408" s="291"/>
      <c r="P408" s="291"/>
      <c r="Q408" s="311"/>
      <c r="R408" s="291"/>
      <c r="S408" s="291"/>
    </row>
    <row r="409" spans="1:19" ht="18.5" x14ac:dyDescent="0.45">
      <c r="A409" s="291"/>
      <c r="B409" s="291"/>
      <c r="C409" s="290"/>
      <c r="D409" s="291"/>
      <c r="E409" s="291"/>
      <c r="F409" s="291"/>
      <c r="G409" s="291"/>
      <c r="H409" s="291"/>
      <c r="I409" s="291"/>
      <c r="J409" s="291"/>
      <c r="K409" s="291"/>
      <c r="L409" s="291"/>
      <c r="M409" s="291"/>
      <c r="N409" s="291"/>
      <c r="O409" s="291"/>
      <c r="P409" s="291"/>
      <c r="Q409" s="311"/>
      <c r="R409" s="291"/>
      <c r="S409" s="291"/>
    </row>
    <row r="410" spans="1:19" ht="18.5" x14ac:dyDescent="0.45">
      <c r="A410" s="291"/>
      <c r="B410" s="291"/>
      <c r="C410" s="290"/>
      <c r="D410" s="291"/>
      <c r="E410" s="291"/>
      <c r="F410" s="291"/>
      <c r="G410" s="291"/>
      <c r="H410" s="291"/>
      <c r="I410" s="291"/>
      <c r="J410" s="291"/>
      <c r="K410" s="291"/>
      <c r="L410" s="291"/>
      <c r="M410" s="291"/>
      <c r="N410" s="291"/>
      <c r="O410" s="291"/>
      <c r="P410" s="291"/>
      <c r="Q410" s="311"/>
      <c r="R410" s="291"/>
      <c r="S410" s="291"/>
    </row>
    <row r="411" spans="1:19" ht="18.5" x14ac:dyDescent="0.45">
      <c r="A411" s="291"/>
      <c r="B411" s="291"/>
      <c r="C411" s="290"/>
      <c r="D411" s="291"/>
      <c r="E411" s="291"/>
      <c r="F411" s="291"/>
      <c r="G411" s="291"/>
      <c r="H411" s="291"/>
      <c r="I411" s="291"/>
      <c r="J411" s="291"/>
      <c r="K411" s="291"/>
      <c r="L411" s="291"/>
      <c r="M411" s="291"/>
      <c r="N411" s="291"/>
      <c r="O411" s="291"/>
      <c r="P411" s="291"/>
      <c r="Q411" s="311"/>
      <c r="R411" s="291"/>
      <c r="S411" s="291"/>
    </row>
    <row r="412" spans="1:19" ht="18.5" x14ac:dyDescent="0.45">
      <c r="A412" s="291"/>
      <c r="B412" s="291"/>
      <c r="C412" s="290"/>
      <c r="D412" s="291"/>
      <c r="E412" s="291"/>
      <c r="F412" s="291"/>
      <c r="G412" s="291"/>
      <c r="H412" s="291"/>
      <c r="I412" s="291"/>
      <c r="J412" s="291"/>
      <c r="K412" s="291"/>
      <c r="L412" s="291"/>
      <c r="M412" s="291"/>
      <c r="N412" s="291"/>
      <c r="O412" s="291"/>
      <c r="P412" s="291"/>
      <c r="Q412" s="311"/>
      <c r="R412" s="291"/>
      <c r="S412" s="291"/>
    </row>
    <row r="413" spans="1:19" ht="18.5" x14ac:dyDescent="0.45">
      <c r="A413" s="291"/>
      <c r="B413" s="291"/>
      <c r="C413" s="290"/>
      <c r="D413" s="291"/>
      <c r="E413" s="291"/>
      <c r="F413" s="291"/>
      <c r="G413" s="291"/>
      <c r="H413" s="291"/>
      <c r="I413" s="291"/>
      <c r="J413" s="291"/>
      <c r="K413" s="291"/>
      <c r="L413" s="291"/>
      <c r="M413" s="291"/>
      <c r="N413" s="291"/>
      <c r="O413" s="291"/>
      <c r="P413" s="291"/>
      <c r="Q413" s="311"/>
      <c r="R413" s="291"/>
      <c r="S413" s="291"/>
    </row>
    <row r="414" spans="1:19" ht="18.5" x14ac:dyDescent="0.45">
      <c r="A414" s="291"/>
      <c r="B414" s="291"/>
      <c r="C414" s="290"/>
      <c r="D414" s="291"/>
      <c r="E414" s="291"/>
      <c r="F414" s="291"/>
      <c r="G414" s="291"/>
      <c r="H414" s="291"/>
      <c r="I414" s="291"/>
      <c r="J414" s="291"/>
      <c r="K414" s="291"/>
      <c r="L414" s="291"/>
      <c r="M414" s="291"/>
      <c r="N414" s="291"/>
      <c r="O414" s="291"/>
      <c r="P414" s="291"/>
      <c r="Q414" s="311"/>
      <c r="R414" s="291"/>
      <c r="S414" s="291"/>
    </row>
    <row r="415" spans="1:19" ht="18.5" x14ac:dyDescent="0.45">
      <c r="A415" s="291"/>
      <c r="B415" s="291"/>
      <c r="C415" s="290"/>
      <c r="D415" s="291"/>
      <c r="E415" s="291"/>
      <c r="F415" s="291"/>
      <c r="G415" s="291"/>
      <c r="H415" s="291"/>
      <c r="I415" s="291"/>
      <c r="J415" s="291"/>
      <c r="K415" s="291"/>
      <c r="L415" s="291"/>
      <c r="M415" s="291"/>
      <c r="N415" s="291"/>
      <c r="O415" s="291"/>
      <c r="P415" s="291"/>
      <c r="Q415" s="311"/>
      <c r="R415" s="291"/>
      <c r="S415" s="291"/>
    </row>
    <row r="416" spans="1:19" ht="18.5" x14ac:dyDescent="0.45">
      <c r="A416" s="291"/>
      <c r="B416" s="291"/>
      <c r="C416" s="290"/>
      <c r="D416" s="291"/>
      <c r="E416" s="291"/>
      <c r="F416" s="291"/>
      <c r="G416" s="291"/>
      <c r="H416" s="291"/>
      <c r="I416" s="291"/>
      <c r="J416" s="291"/>
      <c r="K416" s="291"/>
      <c r="L416" s="291"/>
      <c r="M416" s="291"/>
      <c r="N416" s="291"/>
      <c r="O416" s="291"/>
      <c r="P416" s="291"/>
      <c r="Q416" s="311"/>
      <c r="R416" s="291"/>
      <c r="S416" s="291"/>
    </row>
    <row r="417" spans="1:19" ht="18.5" x14ac:dyDescent="0.45">
      <c r="A417" s="291"/>
      <c r="B417" s="291"/>
      <c r="C417" s="290"/>
      <c r="D417" s="291"/>
      <c r="E417" s="291"/>
      <c r="F417" s="291"/>
      <c r="G417" s="291"/>
      <c r="H417" s="291"/>
      <c r="I417" s="291"/>
      <c r="J417" s="291"/>
      <c r="K417" s="291"/>
      <c r="L417" s="291"/>
      <c r="M417" s="291"/>
      <c r="N417" s="291"/>
      <c r="O417" s="291"/>
      <c r="P417" s="291"/>
      <c r="Q417" s="311"/>
      <c r="R417" s="291"/>
      <c r="S417" s="291"/>
    </row>
    <row r="418" spans="1:19" ht="18.5" x14ac:dyDescent="0.45">
      <c r="A418" s="291"/>
      <c r="B418" s="291"/>
      <c r="C418" s="290"/>
      <c r="D418" s="291"/>
      <c r="E418" s="291"/>
      <c r="F418" s="291"/>
      <c r="G418" s="291"/>
      <c r="H418" s="291"/>
      <c r="I418" s="291"/>
      <c r="J418" s="291"/>
      <c r="K418" s="291"/>
      <c r="L418" s="291"/>
      <c r="M418" s="291"/>
      <c r="N418" s="291"/>
      <c r="O418" s="291"/>
      <c r="P418" s="291"/>
      <c r="Q418" s="311"/>
      <c r="R418" s="291"/>
      <c r="S418" s="291"/>
    </row>
    <row r="419" spans="1:19" ht="18.5" x14ac:dyDescent="0.45">
      <c r="A419" s="291"/>
      <c r="B419" s="291"/>
      <c r="C419" s="290"/>
      <c r="D419" s="291"/>
      <c r="E419" s="291"/>
      <c r="F419" s="291"/>
      <c r="G419" s="291"/>
      <c r="H419" s="291"/>
      <c r="I419" s="291"/>
      <c r="J419" s="291"/>
      <c r="K419" s="291"/>
      <c r="L419" s="291"/>
      <c r="M419" s="291"/>
      <c r="N419" s="291"/>
      <c r="O419" s="291"/>
      <c r="P419" s="291"/>
      <c r="Q419" s="311"/>
      <c r="R419" s="291"/>
      <c r="S419" s="291"/>
    </row>
    <row r="420" spans="1:19" ht="18.5" x14ac:dyDescent="0.45">
      <c r="A420" s="291"/>
      <c r="B420" s="291"/>
      <c r="C420" s="290"/>
      <c r="D420" s="291"/>
      <c r="E420" s="291"/>
      <c r="F420" s="291"/>
      <c r="G420" s="291"/>
      <c r="H420" s="291"/>
      <c r="I420" s="291"/>
      <c r="J420" s="291"/>
      <c r="K420" s="291"/>
      <c r="L420" s="291"/>
      <c r="M420" s="291"/>
      <c r="N420" s="291"/>
      <c r="O420" s="291"/>
      <c r="P420" s="291"/>
      <c r="Q420" s="311"/>
      <c r="R420" s="291"/>
      <c r="S420" s="291"/>
    </row>
    <row r="421" spans="1:19" ht="18.5" x14ac:dyDescent="0.45">
      <c r="A421" s="291"/>
      <c r="B421" s="291"/>
      <c r="C421" s="290"/>
      <c r="D421" s="291"/>
      <c r="E421" s="291"/>
      <c r="F421" s="291"/>
      <c r="G421" s="291"/>
      <c r="H421" s="291"/>
      <c r="I421" s="291"/>
      <c r="J421" s="291"/>
      <c r="K421" s="291"/>
      <c r="L421" s="291"/>
      <c r="M421" s="291"/>
      <c r="N421" s="291"/>
      <c r="O421" s="291"/>
      <c r="P421" s="291"/>
      <c r="Q421" s="311"/>
      <c r="R421" s="291"/>
      <c r="S421" s="291"/>
    </row>
    <row r="422" spans="1:19" ht="18.5" x14ac:dyDescent="0.45">
      <c r="A422" s="291"/>
      <c r="B422" s="291"/>
      <c r="C422" s="290"/>
      <c r="D422" s="291"/>
      <c r="E422" s="291"/>
      <c r="F422" s="291"/>
      <c r="G422" s="291"/>
      <c r="H422" s="291"/>
      <c r="I422" s="291"/>
      <c r="J422" s="291"/>
      <c r="K422" s="291"/>
      <c r="L422" s="291"/>
      <c r="M422" s="291"/>
      <c r="N422" s="291"/>
      <c r="O422" s="291"/>
      <c r="P422" s="291"/>
      <c r="Q422" s="311"/>
      <c r="R422" s="291"/>
      <c r="S422" s="291"/>
    </row>
    <row r="423" spans="1:19" ht="18.5" x14ac:dyDescent="0.45">
      <c r="A423" s="291"/>
      <c r="B423" s="291"/>
      <c r="C423" s="290"/>
      <c r="D423" s="291"/>
      <c r="E423" s="291"/>
      <c r="F423" s="291"/>
      <c r="G423" s="291"/>
      <c r="H423" s="291"/>
      <c r="I423" s="291"/>
      <c r="J423" s="291"/>
      <c r="K423" s="291"/>
      <c r="L423" s="291"/>
      <c r="M423" s="291"/>
      <c r="N423" s="291"/>
      <c r="O423" s="291"/>
      <c r="P423" s="291"/>
      <c r="Q423" s="311"/>
      <c r="R423" s="291"/>
      <c r="S423" s="291"/>
    </row>
    <row r="424" spans="1:19" ht="18.5" x14ac:dyDescent="0.45">
      <c r="A424" s="291"/>
      <c r="B424" s="291"/>
      <c r="C424" s="290"/>
      <c r="D424" s="291"/>
      <c r="E424" s="291"/>
      <c r="F424" s="291"/>
      <c r="G424" s="291"/>
      <c r="H424" s="291"/>
      <c r="I424" s="291"/>
      <c r="J424" s="291"/>
      <c r="K424" s="291"/>
      <c r="L424" s="291"/>
      <c r="M424" s="291"/>
      <c r="N424" s="291"/>
      <c r="O424" s="291"/>
      <c r="P424" s="291"/>
      <c r="Q424" s="311"/>
      <c r="R424" s="291"/>
      <c r="S424" s="291"/>
    </row>
    <row r="425" spans="1:19" ht="18.5" x14ac:dyDescent="0.45">
      <c r="A425" s="291"/>
      <c r="B425" s="291"/>
      <c r="C425" s="290"/>
      <c r="D425" s="291"/>
      <c r="E425" s="291"/>
      <c r="F425" s="291"/>
      <c r="G425" s="291"/>
      <c r="H425" s="291"/>
      <c r="I425" s="291"/>
      <c r="J425" s="291"/>
      <c r="K425" s="291"/>
      <c r="L425" s="291"/>
      <c r="M425" s="291"/>
      <c r="N425" s="291"/>
      <c r="O425" s="291"/>
      <c r="P425" s="291"/>
      <c r="Q425" s="311"/>
      <c r="R425" s="291"/>
      <c r="S425" s="291"/>
    </row>
    <row r="426" spans="1:19" ht="18.5" x14ac:dyDescent="0.45">
      <c r="A426" s="291"/>
      <c r="B426" s="291"/>
      <c r="C426" s="290"/>
      <c r="D426" s="291"/>
      <c r="E426" s="291"/>
      <c r="F426" s="291"/>
      <c r="G426" s="291"/>
      <c r="H426" s="291"/>
      <c r="I426" s="291"/>
      <c r="J426" s="291"/>
      <c r="K426" s="291"/>
      <c r="L426" s="291"/>
      <c r="M426" s="291"/>
      <c r="N426" s="291"/>
      <c r="O426" s="291"/>
      <c r="P426" s="291"/>
      <c r="Q426" s="311"/>
      <c r="R426" s="291"/>
      <c r="S426" s="291"/>
    </row>
    <row r="427" spans="1:19" ht="18.5" x14ac:dyDescent="0.45">
      <c r="A427" s="291"/>
      <c r="B427" s="291"/>
      <c r="C427" s="290"/>
      <c r="D427" s="291"/>
      <c r="E427" s="291"/>
      <c r="F427" s="291"/>
      <c r="G427" s="291"/>
      <c r="H427" s="291"/>
      <c r="I427" s="291"/>
      <c r="J427" s="291"/>
      <c r="K427" s="291"/>
      <c r="L427" s="291"/>
      <c r="M427" s="291"/>
      <c r="N427" s="291"/>
      <c r="O427" s="291"/>
      <c r="P427" s="291"/>
      <c r="Q427" s="311"/>
      <c r="R427" s="291"/>
      <c r="S427" s="291"/>
    </row>
    <row r="428" spans="1:19" ht="18.5" x14ac:dyDescent="0.45">
      <c r="A428" s="291"/>
      <c r="B428" s="291"/>
      <c r="C428" s="290"/>
      <c r="D428" s="291"/>
      <c r="E428" s="291"/>
      <c r="F428" s="291"/>
      <c r="G428" s="291"/>
      <c r="H428" s="291"/>
      <c r="I428" s="291"/>
      <c r="J428" s="291"/>
      <c r="K428" s="291"/>
      <c r="L428" s="291"/>
      <c r="M428" s="291"/>
      <c r="N428" s="291"/>
      <c r="O428" s="291"/>
      <c r="P428" s="291"/>
      <c r="Q428" s="311"/>
      <c r="R428" s="291"/>
      <c r="S428" s="291"/>
    </row>
    <row r="429" spans="1:19" ht="18.5" x14ac:dyDescent="0.45">
      <c r="A429" s="291"/>
      <c r="B429" s="291"/>
      <c r="C429" s="290"/>
      <c r="D429" s="291"/>
      <c r="E429" s="291"/>
      <c r="F429" s="291"/>
      <c r="G429" s="291"/>
      <c r="H429" s="291"/>
      <c r="I429" s="291"/>
      <c r="J429" s="291"/>
      <c r="K429" s="291"/>
      <c r="L429" s="291"/>
      <c r="M429" s="291"/>
      <c r="N429" s="291"/>
      <c r="O429" s="291"/>
      <c r="P429" s="291"/>
      <c r="Q429" s="311"/>
      <c r="R429" s="291"/>
      <c r="S429" s="291"/>
    </row>
    <row r="430" spans="1:19" ht="18.5" x14ac:dyDescent="0.45">
      <c r="A430" s="291"/>
      <c r="B430" s="291"/>
      <c r="C430" s="290"/>
      <c r="D430" s="291"/>
      <c r="E430" s="291"/>
      <c r="F430" s="291"/>
      <c r="G430" s="291"/>
      <c r="H430" s="291"/>
      <c r="I430" s="291"/>
      <c r="J430" s="291"/>
      <c r="K430" s="291"/>
      <c r="L430" s="291"/>
      <c r="M430" s="291"/>
      <c r="N430" s="291"/>
      <c r="O430" s="291"/>
      <c r="P430" s="291"/>
      <c r="Q430" s="311"/>
      <c r="R430" s="291"/>
      <c r="S430" s="291"/>
    </row>
    <row r="431" spans="1:19" ht="18.5" x14ac:dyDescent="0.45">
      <c r="A431" s="291"/>
      <c r="B431" s="291"/>
      <c r="C431" s="290"/>
      <c r="D431" s="291"/>
      <c r="E431" s="291"/>
      <c r="F431" s="291"/>
      <c r="G431" s="291"/>
      <c r="H431" s="291"/>
      <c r="I431" s="291"/>
      <c r="J431" s="291"/>
      <c r="K431" s="291"/>
      <c r="L431" s="291"/>
      <c r="M431" s="291"/>
      <c r="N431" s="291"/>
      <c r="O431" s="291"/>
      <c r="P431" s="291"/>
      <c r="Q431" s="311"/>
      <c r="R431" s="291"/>
      <c r="S431" s="291"/>
    </row>
    <row r="432" spans="1:19" ht="18.5" x14ac:dyDescent="0.45">
      <c r="A432" s="291"/>
      <c r="B432" s="291"/>
      <c r="C432" s="290"/>
      <c r="D432" s="291"/>
      <c r="E432" s="291"/>
      <c r="F432" s="291"/>
      <c r="G432" s="291"/>
      <c r="H432" s="291"/>
      <c r="I432" s="291"/>
      <c r="J432" s="291"/>
      <c r="K432" s="291"/>
      <c r="L432" s="291"/>
      <c r="M432" s="291"/>
      <c r="N432" s="291"/>
      <c r="O432" s="291"/>
      <c r="P432" s="291"/>
      <c r="Q432" s="311"/>
      <c r="R432" s="291"/>
      <c r="S432" s="291"/>
    </row>
    <row r="433" spans="1:19" ht="18.5" x14ac:dyDescent="0.45">
      <c r="A433" s="291"/>
      <c r="B433" s="291"/>
      <c r="C433" s="290"/>
      <c r="D433" s="291"/>
      <c r="E433" s="291"/>
      <c r="F433" s="291"/>
      <c r="G433" s="291"/>
      <c r="H433" s="291"/>
      <c r="I433" s="291"/>
      <c r="J433" s="291"/>
      <c r="K433" s="291"/>
      <c r="L433" s="291"/>
      <c r="M433" s="291"/>
      <c r="N433" s="291"/>
      <c r="O433" s="291"/>
      <c r="P433" s="291"/>
      <c r="Q433" s="311"/>
      <c r="R433" s="291"/>
      <c r="S433" s="291"/>
    </row>
    <row r="434" spans="1:19" ht="18.5" x14ac:dyDescent="0.45">
      <c r="A434" s="291"/>
      <c r="B434" s="291"/>
      <c r="C434" s="290"/>
      <c r="D434" s="291"/>
      <c r="E434" s="291"/>
      <c r="F434" s="291"/>
      <c r="G434" s="291"/>
      <c r="H434" s="291"/>
      <c r="I434" s="291"/>
      <c r="J434" s="291"/>
      <c r="K434" s="291"/>
      <c r="L434" s="291"/>
      <c r="M434" s="291"/>
      <c r="N434" s="291"/>
      <c r="O434" s="291"/>
      <c r="P434" s="291"/>
      <c r="Q434" s="311"/>
      <c r="R434" s="291"/>
      <c r="S434" s="291"/>
    </row>
    <row r="435" spans="1:19" ht="18.5" x14ac:dyDescent="0.45">
      <c r="A435" s="291"/>
      <c r="B435" s="291"/>
      <c r="C435" s="290"/>
      <c r="D435" s="291"/>
      <c r="E435" s="291"/>
      <c r="F435" s="291"/>
      <c r="G435" s="291"/>
      <c r="H435" s="291"/>
      <c r="I435" s="291"/>
      <c r="J435" s="291"/>
      <c r="K435" s="291"/>
      <c r="L435" s="291"/>
      <c r="M435" s="291"/>
      <c r="N435" s="291"/>
      <c r="O435" s="291"/>
      <c r="P435" s="291"/>
      <c r="Q435" s="311"/>
      <c r="R435" s="291"/>
      <c r="S435" s="291"/>
    </row>
    <row r="436" spans="1:19" ht="18.5" x14ac:dyDescent="0.45">
      <c r="A436" s="291"/>
      <c r="B436" s="291"/>
      <c r="C436" s="290"/>
      <c r="D436" s="291"/>
      <c r="E436" s="291"/>
      <c r="F436" s="291"/>
      <c r="G436" s="291"/>
      <c r="H436" s="291"/>
      <c r="I436" s="291"/>
      <c r="J436" s="291"/>
      <c r="K436" s="291"/>
      <c r="L436" s="291"/>
      <c r="M436" s="291"/>
      <c r="N436" s="291"/>
      <c r="O436" s="291"/>
      <c r="P436" s="291"/>
      <c r="Q436" s="311"/>
      <c r="R436" s="291"/>
      <c r="S436" s="291"/>
    </row>
    <row r="437" spans="1:19" ht="18.5" x14ac:dyDescent="0.45">
      <c r="A437" s="291"/>
      <c r="B437" s="291"/>
      <c r="C437" s="290"/>
      <c r="D437" s="291"/>
      <c r="E437" s="291"/>
      <c r="F437" s="291"/>
      <c r="G437" s="291"/>
      <c r="H437" s="291"/>
      <c r="I437" s="291"/>
      <c r="J437" s="291"/>
      <c r="K437" s="291"/>
      <c r="L437" s="291"/>
      <c r="M437" s="291"/>
      <c r="N437" s="291"/>
      <c r="O437" s="291"/>
      <c r="P437" s="291"/>
      <c r="Q437" s="311"/>
      <c r="R437" s="291"/>
      <c r="S437" s="291"/>
    </row>
    <row r="438" spans="1:19" ht="18.5" x14ac:dyDescent="0.45">
      <c r="A438" s="291"/>
      <c r="B438" s="291"/>
      <c r="C438" s="290"/>
      <c r="D438" s="291"/>
      <c r="E438" s="291"/>
      <c r="F438" s="291"/>
      <c r="G438" s="291"/>
      <c r="H438" s="291"/>
      <c r="I438" s="291"/>
      <c r="J438" s="291"/>
      <c r="K438" s="291"/>
      <c r="L438" s="291"/>
      <c r="M438" s="291"/>
      <c r="N438" s="291"/>
      <c r="O438" s="291"/>
      <c r="P438" s="291"/>
      <c r="Q438" s="311"/>
      <c r="R438" s="291"/>
      <c r="S438" s="291"/>
    </row>
    <row r="439" spans="1:19" ht="18.5" x14ac:dyDescent="0.45">
      <c r="A439" s="291"/>
      <c r="B439" s="291"/>
      <c r="C439" s="290"/>
      <c r="D439" s="291"/>
      <c r="E439" s="291"/>
      <c r="F439" s="291"/>
      <c r="G439" s="291"/>
      <c r="H439" s="291"/>
      <c r="I439" s="291"/>
      <c r="J439" s="291"/>
      <c r="K439" s="291"/>
      <c r="L439" s="291"/>
      <c r="M439" s="291"/>
      <c r="N439" s="291"/>
      <c r="O439" s="291"/>
      <c r="P439" s="291"/>
      <c r="Q439" s="311"/>
      <c r="R439" s="291"/>
      <c r="S439" s="291"/>
    </row>
    <row r="440" spans="1:19" ht="18.5" x14ac:dyDescent="0.45">
      <c r="A440" s="291"/>
      <c r="B440" s="291"/>
      <c r="C440" s="290"/>
      <c r="D440" s="291"/>
      <c r="E440" s="291"/>
      <c r="F440" s="291"/>
      <c r="G440" s="291"/>
      <c r="H440" s="291"/>
      <c r="I440" s="291"/>
      <c r="J440" s="291"/>
      <c r="K440" s="291"/>
      <c r="L440" s="291"/>
      <c r="M440" s="291"/>
      <c r="N440" s="291"/>
      <c r="O440" s="291"/>
      <c r="P440" s="291"/>
      <c r="Q440" s="311"/>
      <c r="R440" s="291"/>
      <c r="S440" s="291"/>
    </row>
    <row r="441" spans="1:19" ht="18.5" x14ac:dyDescent="0.45">
      <c r="A441" s="291"/>
      <c r="B441" s="291"/>
      <c r="C441" s="290"/>
      <c r="D441" s="291"/>
      <c r="E441" s="291"/>
      <c r="F441" s="291"/>
      <c r="G441" s="291"/>
      <c r="H441" s="291"/>
      <c r="I441" s="291"/>
      <c r="J441" s="291"/>
      <c r="K441" s="291"/>
      <c r="L441" s="291"/>
      <c r="M441" s="291"/>
      <c r="N441" s="291"/>
      <c r="O441" s="291"/>
      <c r="P441" s="291"/>
      <c r="Q441" s="311"/>
      <c r="R441" s="291"/>
      <c r="S441" s="291"/>
    </row>
    <row r="442" spans="1:19" ht="18.5" x14ac:dyDescent="0.45">
      <c r="A442" s="291"/>
      <c r="B442" s="291"/>
      <c r="C442" s="290"/>
      <c r="D442" s="291"/>
      <c r="E442" s="291"/>
      <c r="F442" s="291"/>
      <c r="G442" s="291"/>
      <c r="H442" s="291"/>
      <c r="I442" s="291"/>
      <c r="J442" s="291"/>
      <c r="K442" s="291"/>
      <c r="L442" s="291"/>
      <c r="M442" s="291"/>
      <c r="N442" s="291"/>
      <c r="O442" s="291"/>
      <c r="P442" s="291"/>
      <c r="Q442" s="311"/>
      <c r="R442" s="291"/>
      <c r="S442" s="291"/>
    </row>
    <row r="443" spans="1:19" ht="18.5" x14ac:dyDescent="0.45">
      <c r="A443" s="291"/>
      <c r="B443" s="291"/>
      <c r="C443" s="290"/>
      <c r="D443" s="291"/>
      <c r="E443" s="291"/>
      <c r="F443" s="291"/>
      <c r="G443" s="291"/>
      <c r="H443" s="291"/>
      <c r="I443" s="291"/>
      <c r="J443" s="291"/>
      <c r="K443" s="291"/>
      <c r="L443" s="291"/>
      <c r="M443" s="291"/>
      <c r="N443" s="291"/>
      <c r="O443" s="291"/>
      <c r="P443" s="291"/>
      <c r="Q443" s="311"/>
      <c r="R443" s="291"/>
      <c r="S443" s="291"/>
    </row>
    <row r="444" spans="1:19" ht="18.5" x14ac:dyDescent="0.45">
      <c r="A444" s="291"/>
      <c r="B444" s="291"/>
      <c r="C444" s="290"/>
      <c r="D444" s="291"/>
      <c r="E444" s="291"/>
      <c r="F444" s="291"/>
      <c r="G444" s="291"/>
      <c r="H444" s="291"/>
      <c r="I444" s="291"/>
      <c r="J444" s="291"/>
      <c r="K444" s="291"/>
      <c r="L444" s="291"/>
      <c r="M444" s="291"/>
      <c r="N444" s="291"/>
      <c r="O444" s="291"/>
      <c r="P444" s="291"/>
      <c r="Q444" s="311"/>
      <c r="R444" s="291"/>
      <c r="S444" s="291"/>
    </row>
    <row r="445" spans="1:19" ht="18.5" x14ac:dyDescent="0.45">
      <c r="A445" s="291"/>
      <c r="B445" s="291"/>
      <c r="C445" s="290"/>
      <c r="D445" s="291"/>
      <c r="E445" s="291"/>
      <c r="F445" s="291"/>
      <c r="G445" s="291"/>
      <c r="H445" s="291"/>
      <c r="I445" s="291"/>
      <c r="J445" s="291"/>
      <c r="K445" s="291"/>
      <c r="L445" s="291"/>
      <c r="M445" s="291"/>
      <c r="N445" s="291"/>
      <c r="O445" s="291"/>
      <c r="P445" s="291"/>
      <c r="Q445" s="311"/>
      <c r="R445" s="291"/>
      <c r="S445" s="291"/>
    </row>
    <row r="446" spans="1:19" ht="18.5" x14ac:dyDescent="0.45">
      <c r="A446" s="291"/>
      <c r="B446" s="291"/>
      <c r="C446" s="290"/>
      <c r="D446" s="291"/>
      <c r="E446" s="291"/>
      <c r="F446" s="291"/>
      <c r="G446" s="291"/>
      <c r="H446" s="291"/>
      <c r="I446" s="291"/>
      <c r="J446" s="291"/>
      <c r="K446" s="291"/>
      <c r="L446" s="291"/>
      <c r="M446" s="291"/>
      <c r="N446" s="291"/>
      <c r="O446" s="291"/>
      <c r="P446" s="291"/>
      <c r="Q446" s="311"/>
      <c r="R446" s="291"/>
      <c r="S446" s="291"/>
    </row>
    <row r="447" spans="1:19" ht="18.5" x14ac:dyDescent="0.45">
      <c r="A447" s="291"/>
      <c r="B447" s="291"/>
      <c r="C447" s="290"/>
      <c r="D447" s="291"/>
      <c r="E447" s="291"/>
      <c r="F447" s="291"/>
      <c r="G447" s="291"/>
      <c r="H447" s="291"/>
      <c r="I447" s="291"/>
      <c r="J447" s="291"/>
      <c r="K447" s="291"/>
      <c r="L447" s="291"/>
      <c r="M447" s="291"/>
      <c r="N447" s="291"/>
      <c r="O447" s="291"/>
      <c r="P447" s="291"/>
      <c r="Q447" s="311"/>
      <c r="R447" s="291"/>
      <c r="S447" s="291"/>
    </row>
    <row r="448" spans="1:19" ht="18.5" x14ac:dyDescent="0.45">
      <c r="A448" s="291"/>
      <c r="B448" s="291"/>
      <c r="C448" s="290"/>
      <c r="D448" s="291"/>
      <c r="E448" s="291"/>
      <c r="F448" s="291"/>
      <c r="G448" s="291"/>
      <c r="H448" s="291"/>
      <c r="I448" s="291"/>
      <c r="J448" s="291"/>
      <c r="K448" s="291"/>
      <c r="L448" s="291"/>
      <c r="M448" s="291"/>
      <c r="N448" s="291"/>
      <c r="O448" s="291"/>
      <c r="P448" s="291"/>
      <c r="Q448" s="311"/>
      <c r="R448" s="291"/>
      <c r="S448" s="291"/>
    </row>
    <row r="449" spans="1:19" ht="18.5" x14ac:dyDescent="0.45">
      <c r="A449" s="291"/>
      <c r="B449" s="291"/>
      <c r="C449" s="290"/>
      <c r="D449" s="291"/>
      <c r="E449" s="291"/>
      <c r="F449" s="291"/>
      <c r="G449" s="291"/>
      <c r="H449" s="291"/>
      <c r="I449" s="291"/>
      <c r="J449" s="291"/>
      <c r="K449" s="291"/>
      <c r="L449" s="291"/>
      <c r="M449" s="291"/>
      <c r="N449" s="291"/>
      <c r="O449" s="291"/>
      <c r="P449" s="291"/>
      <c r="Q449" s="311"/>
      <c r="R449" s="291"/>
      <c r="S449" s="291"/>
    </row>
    <row r="450" spans="1:19" ht="18.5" x14ac:dyDescent="0.45">
      <c r="A450" s="291"/>
      <c r="B450" s="291"/>
      <c r="C450" s="290"/>
      <c r="D450" s="291"/>
      <c r="E450" s="291"/>
      <c r="F450" s="291"/>
      <c r="G450" s="291"/>
      <c r="H450" s="291"/>
      <c r="I450" s="291"/>
      <c r="J450" s="291"/>
      <c r="K450" s="291"/>
      <c r="L450" s="291"/>
      <c r="M450" s="291"/>
      <c r="N450" s="291"/>
      <c r="O450" s="291"/>
      <c r="P450" s="291"/>
      <c r="Q450" s="311"/>
      <c r="R450" s="291"/>
      <c r="S450" s="291"/>
    </row>
    <row r="451" spans="1:19" ht="18.5" x14ac:dyDescent="0.45">
      <c r="A451" s="291"/>
      <c r="B451" s="291"/>
      <c r="C451" s="290"/>
      <c r="D451" s="291"/>
      <c r="E451" s="291"/>
      <c r="F451" s="291"/>
      <c r="G451" s="291"/>
      <c r="H451" s="291"/>
      <c r="I451" s="291"/>
      <c r="J451" s="291"/>
      <c r="K451" s="291"/>
      <c r="L451" s="291"/>
      <c r="M451" s="291"/>
      <c r="N451" s="291"/>
      <c r="O451" s="291"/>
      <c r="P451" s="291"/>
      <c r="Q451" s="311"/>
      <c r="R451" s="291"/>
      <c r="S451" s="291"/>
    </row>
    <row r="452" spans="1:19" ht="18.5" x14ac:dyDescent="0.45">
      <c r="A452" s="291"/>
      <c r="B452" s="291"/>
      <c r="C452" s="290"/>
      <c r="D452" s="291"/>
      <c r="E452" s="291"/>
      <c r="F452" s="291"/>
      <c r="G452" s="291"/>
      <c r="H452" s="291"/>
      <c r="I452" s="291"/>
      <c r="J452" s="291"/>
      <c r="K452" s="291"/>
      <c r="L452" s="291"/>
      <c r="M452" s="291"/>
      <c r="N452" s="291"/>
      <c r="O452" s="291"/>
      <c r="P452" s="291"/>
      <c r="Q452" s="311"/>
      <c r="R452" s="291"/>
      <c r="S452" s="291"/>
    </row>
    <row r="453" spans="1:19" ht="18.5" x14ac:dyDescent="0.45">
      <c r="A453" s="291"/>
      <c r="B453" s="291"/>
      <c r="C453" s="290"/>
      <c r="D453" s="291"/>
      <c r="E453" s="291"/>
      <c r="F453" s="291"/>
      <c r="G453" s="291"/>
      <c r="H453" s="291"/>
      <c r="I453" s="291"/>
      <c r="J453" s="291"/>
      <c r="K453" s="291"/>
      <c r="L453" s="291"/>
      <c r="M453" s="291"/>
      <c r="N453" s="291"/>
      <c r="O453" s="291"/>
      <c r="P453" s="291"/>
      <c r="Q453" s="311"/>
      <c r="R453" s="291"/>
      <c r="S453" s="291"/>
    </row>
    <row r="454" spans="1:19" ht="18.5" x14ac:dyDescent="0.45">
      <c r="A454" s="291"/>
      <c r="B454" s="291"/>
      <c r="C454" s="290"/>
      <c r="D454" s="291"/>
      <c r="E454" s="291"/>
      <c r="F454" s="291"/>
      <c r="G454" s="291"/>
      <c r="H454" s="291"/>
      <c r="I454" s="291"/>
      <c r="J454" s="291"/>
      <c r="K454" s="291"/>
      <c r="L454" s="291"/>
      <c r="M454" s="291"/>
      <c r="N454" s="291"/>
      <c r="O454" s="291"/>
      <c r="P454" s="291"/>
      <c r="Q454" s="311"/>
      <c r="R454" s="291"/>
      <c r="S454" s="291"/>
    </row>
    <row r="455" spans="1:19" ht="18.5" x14ac:dyDescent="0.45">
      <c r="A455" s="291"/>
      <c r="B455" s="291"/>
      <c r="C455" s="290"/>
      <c r="D455" s="291"/>
      <c r="E455" s="291"/>
      <c r="F455" s="291"/>
      <c r="G455" s="291"/>
      <c r="H455" s="291"/>
      <c r="I455" s="291"/>
      <c r="J455" s="291"/>
      <c r="K455" s="291"/>
      <c r="L455" s="291"/>
      <c r="M455" s="291"/>
      <c r="N455" s="291"/>
      <c r="O455" s="291"/>
      <c r="P455" s="291"/>
      <c r="Q455" s="311"/>
      <c r="R455" s="291"/>
      <c r="S455" s="291"/>
    </row>
    <row r="456" spans="1:19" ht="18.5" x14ac:dyDescent="0.45">
      <c r="A456" s="291"/>
      <c r="B456" s="291"/>
      <c r="C456" s="290"/>
      <c r="D456" s="291"/>
      <c r="E456" s="291"/>
      <c r="F456" s="291"/>
      <c r="G456" s="291"/>
      <c r="H456" s="291"/>
      <c r="I456" s="291"/>
      <c r="J456" s="291"/>
      <c r="K456" s="291"/>
      <c r="L456" s="291"/>
      <c r="M456" s="291"/>
      <c r="N456" s="291"/>
      <c r="O456" s="291"/>
      <c r="P456" s="291"/>
      <c r="Q456" s="311"/>
      <c r="R456" s="291"/>
      <c r="S456" s="291"/>
    </row>
    <row r="457" spans="1:19" ht="18.5" x14ac:dyDescent="0.45">
      <c r="A457" s="291"/>
      <c r="B457" s="291"/>
      <c r="C457" s="290"/>
      <c r="D457" s="291"/>
      <c r="E457" s="291"/>
      <c r="F457" s="291"/>
      <c r="G457" s="291"/>
      <c r="H457" s="291"/>
      <c r="I457" s="291"/>
      <c r="J457" s="291"/>
      <c r="K457" s="291"/>
      <c r="L457" s="291"/>
      <c r="M457" s="291"/>
      <c r="N457" s="291"/>
      <c r="O457" s="291"/>
      <c r="P457" s="291"/>
      <c r="Q457" s="311"/>
      <c r="R457" s="291"/>
      <c r="S457" s="291"/>
    </row>
    <row r="458" spans="1:19" ht="18.5" x14ac:dyDescent="0.45">
      <c r="A458" s="291"/>
      <c r="B458" s="291"/>
      <c r="C458" s="290"/>
      <c r="D458" s="291"/>
      <c r="E458" s="291"/>
      <c r="F458" s="291"/>
      <c r="G458" s="291"/>
      <c r="H458" s="291"/>
      <c r="I458" s="291"/>
      <c r="J458" s="291"/>
      <c r="K458" s="291"/>
      <c r="L458" s="291"/>
      <c r="M458" s="291"/>
      <c r="N458" s="291"/>
      <c r="O458" s="291"/>
      <c r="P458" s="291"/>
      <c r="Q458" s="311"/>
      <c r="R458" s="291"/>
      <c r="S458" s="291"/>
    </row>
    <row r="459" spans="1:19" ht="18.5" x14ac:dyDescent="0.45">
      <c r="A459" s="291"/>
      <c r="B459" s="291"/>
      <c r="C459" s="290"/>
      <c r="D459" s="291"/>
      <c r="E459" s="291"/>
      <c r="F459" s="291"/>
      <c r="G459" s="291"/>
      <c r="H459" s="291"/>
      <c r="I459" s="291"/>
      <c r="J459" s="291"/>
      <c r="K459" s="291"/>
      <c r="L459" s="291"/>
      <c r="M459" s="291"/>
      <c r="N459" s="291"/>
      <c r="O459" s="291"/>
      <c r="P459" s="291"/>
      <c r="Q459" s="311"/>
      <c r="R459" s="291"/>
      <c r="S459" s="291"/>
    </row>
    <row r="460" spans="1:19" ht="18.5" x14ac:dyDescent="0.45">
      <c r="A460" s="291"/>
      <c r="B460" s="291"/>
      <c r="C460" s="290"/>
      <c r="D460" s="291"/>
      <c r="E460" s="291"/>
      <c r="F460" s="291"/>
      <c r="G460" s="291"/>
      <c r="H460" s="291"/>
      <c r="I460" s="291"/>
      <c r="J460" s="291"/>
      <c r="K460" s="291"/>
      <c r="L460" s="291"/>
      <c r="M460" s="291"/>
      <c r="N460" s="291"/>
      <c r="O460" s="291"/>
      <c r="P460" s="291"/>
      <c r="Q460" s="311"/>
      <c r="R460" s="291"/>
      <c r="S460" s="291"/>
    </row>
    <row r="461" spans="1:19" ht="18.5" x14ac:dyDescent="0.45">
      <c r="A461" s="291"/>
      <c r="B461" s="291"/>
      <c r="C461" s="290"/>
      <c r="D461" s="291"/>
      <c r="E461" s="291"/>
      <c r="F461" s="291"/>
      <c r="G461" s="291"/>
      <c r="H461" s="291"/>
      <c r="I461" s="291"/>
      <c r="J461" s="291"/>
      <c r="K461" s="291"/>
      <c r="L461" s="291"/>
      <c r="M461" s="291"/>
      <c r="N461" s="291"/>
      <c r="O461" s="291"/>
      <c r="P461" s="291"/>
      <c r="Q461" s="311"/>
      <c r="R461" s="291"/>
      <c r="S461" s="291"/>
    </row>
    <row r="462" spans="1:19" ht="18.5" x14ac:dyDescent="0.45">
      <c r="A462" s="291"/>
      <c r="B462" s="291"/>
      <c r="C462" s="290"/>
      <c r="D462" s="291"/>
      <c r="E462" s="291"/>
      <c r="F462" s="291"/>
      <c r="G462" s="291"/>
      <c r="H462" s="291"/>
      <c r="I462" s="291"/>
      <c r="J462" s="291"/>
      <c r="K462" s="291"/>
      <c r="L462" s="291"/>
      <c r="M462" s="291"/>
      <c r="N462" s="291"/>
      <c r="O462" s="291"/>
      <c r="P462" s="291"/>
      <c r="Q462" s="311"/>
      <c r="R462" s="291"/>
      <c r="S462" s="291"/>
    </row>
    <row r="463" spans="1:19" ht="18.5" x14ac:dyDescent="0.45">
      <c r="A463" s="291"/>
      <c r="B463" s="291"/>
      <c r="C463" s="290"/>
      <c r="D463" s="291"/>
      <c r="E463" s="291"/>
      <c r="F463" s="291"/>
      <c r="G463" s="291"/>
      <c r="H463" s="291"/>
      <c r="I463" s="291"/>
      <c r="J463" s="291"/>
      <c r="K463" s="291"/>
      <c r="L463" s="291"/>
      <c r="M463" s="291"/>
      <c r="N463" s="291"/>
      <c r="O463" s="291"/>
      <c r="P463" s="291"/>
      <c r="Q463" s="311"/>
      <c r="R463" s="291"/>
      <c r="S463" s="291"/>
    </row>
    <row r="464" spans="1:19" ht="18.5" x14ac:dyDescent="0.45">
      <c r="A464" s="291"/>
      <c r="B464" s="291"/>
      <c r="C464" s="290"/>
      <c r="D464" s="291"/>
      <c r="E464" s="291"/>
      <c r="F464" s="291"/>
      <c r="G464" s="291"/>
      <c r="H464" s="291"/>
      <c r="I464" s="291"/>
      <c r="J464" s="291"/>
      <c r="K464" s="291"/>
      <c r="L464" s="291"/>
      <c r="M464" s="291"/>
      <c r="N464" s="291"/>
      <c r="O464" s="291"/>
      <c r="P464" s="291"/>
      <c r="Q464" s="311"/>
      <c r="R464" s="291"/>
      <c r="S464" s="291"/>
    </row>
    <row r="465" spans="1:19" ht="18.5" x14ac:dyDescent="0.45">
      <c r="A465" s="291"/>
      <c r="B465" s="291"/>
      <c r="C465" s="290"/>
      <c r="D465" s="291"/>
      <c r="E465" s="291"/>
      <c r="F465" s="291"/>
      <c r="G465" s="291"/>
      <c r="H465" s="291"/>
      <c r="I465" s="291"/>
      <c r="J465" s="291"/>
      <c r="K465" s="291"/>
      <c r="L465" s="291"/>
      <c r="M465" s="291"/>
      <c r="N465" s="291"/>
      <c r="O465" s="291"/>
      <c r="P465" s="291"/>
      <c r="Q465" s="311"/>
      <c r="R465" s="291"/>
      <c r="S465" s="291"/>
    </row>
    <row r="466" spans="1:19" ht="18.5" x14ac:dyDescent="0.45">
      <c r="A466" s="291"/>
      <c r="B466" s="291"/>
      <c r="C466" s="290"/>
      <c r="D466" s="291"/>
      <c r="E466" s="291"/>
      <c r="F466" s="291"/>
      <c r="G466" s="291"/>
      <c r="H466" s="291"/>
      <c r="I466" s="291"/>
      <c r="J466" s="291"/>
      <c r="K466" s="291"/>
      <c r="L466" s="291"/>
      <c r="M466" s="291"/>
      <c r="N466" s="291"/>
      <c r="O466" s="291"/>
      <c r="P466" s="291"/>
      <c r="Q466" s="311"/>
      <c r="R466" s="291"/>
      <c r="S466" s="291"/>
    </row>
    <row r="467" spans="1:19" ht="18.5" x14ac:dyDescent="0.45">
      <c r="A467" s="291"/>
      <c r="B467" s="291"/>
      <c r="C467" s="290"/>
      <c r="D467" s="291"/>
      <c r="E467" s="291"/>
      <c r="F467" s="291"/>
      <c r="G467" s="291"/>
      <c r="H467" s="291"/>
      <c r="I467" s="291"/>
      <c r="J467" s="291"/>
      <c r="K467" s="291"/>
      <c r="L467" s="291"/>
      <c r="M467" s="291"/>
      <c r="N467" s="291"/>
      <c r="O467" s="291"/>
      <c r="P467" s="291"/>
      <c r="Q467" s="311"/>
      <c r="R467" s="291"/>
      <c r="S467" s="291"/>
    </row>
    <row r="468" spans="1:19" ht="18.5" x14ac:dyDescent="0.45">
      <c r="A468" s="291"/>
      <c r="B468" s="291"/>
      <c r="C468" s="290"/>
      <c r="D468" s="291"/>
      <c r="E468" s="291"/>
      <c r="F468" s="291"/>
      <c r="G468" s="291"/>
      <c r="H468" s="291"/>
      <c r="I468" s="291"/>
      <c r="J468" s="291"/>
      <c r="K468" s="291"/>
      <c r="L468" s="291"/>
      <c r="M468" s="291"/>
      <c r="N468" s="291"/>
      <c r="O468" s="291"/>
      <c r="P468" s="291"/>
      <c r="Q468" s="311"/>
      <c r="R468" s="291"/>
      <c r="S468" s="291"/>
    </row>
    <row r="469" spans="1:19" ht="18.5" x14ac:dyDescent="0.45">
      <c r="A469" s="291"/>
      <c r="B469" s="291"/>
      <c r="C469" s="290"/>
      <c r="D469" s="291"/>
      <c r="E469" s="291"/>
      <c r="F469" s="291"/>
      <c r="G469" s="291"/>
      <c r="H469" s="291"/>
      <c r="I469" s="291"/>
      <c r="J469" s="291"/>
      <c r="K469" s="291"/>
      <c r="L469" s="291"/>
      <c r="M469" s="291"/>
      <c r="N469" s="291"/>
      <c r="O469" s="291"/>
      <c r="P469" s="291"/>
      <c r="Q469" s="311"/>
      <c r="R469" s="291"/>
      <c r="S469" s="291"/>
    </row>
    <row r="470" spans="1:19" ht="18.5" x14ac:dyDescent="0.45">
      <c r="A470" s="291"/>
      <c r="B470" s="291"/>
      <c r="C470" s="290"/>
      <c r="D470" s="291"/>
      <c r="E470" s="291"/>
      <c r="F470" s="291"/>
      <c r="G470" s="291"/>
      <c r="H470" s="291"/>
      <c r="I470" s="291"/>
      <c r="J470" s="291"/>
      <c r="K470" s="291"/>
      <c r="L470" s="291"/>
      <c r="M470" s="291"/>
      <c r="N470" s="291"/>
      <c r="O470" s="291"/>
      <c r="P470" s="291"/>
      <c r="Q470" s="311"/>
      <c r="R470" s="291"/>
      <c r="S470" s="291"/>
    </row>
    <row r="471" spans="1:19" ht="18.5" x14ac:dyDescent="0.45">
      <c r="A471" s="291"/>
      <c r="B471" s="291"/>
      <c r="C471" s="290"/>
      <c r="D471" s="291"/>
      <c r="E471" s="291"/>
      <c r="F471" s="291"/>
      <c r="G471" s="291"/>
      <c r="H471" s="291"/>
      <c r="I471" s="291"/>
      <c r="J471" s="291"/>
      <c r="K471" s="291"/>
      <c r="L471" s="291"/>
      <c r="M471" s="291"/>
      <c r="N471" s="291"/>
      <c r="O471" s="291"/>
      <c r="P471" s="291"/>
      <c r="Q471" s="311"/>
      <c r="R471" s="291"/>
      <c r="S471" s="291"/>
    </row>
    <row r="472" spans="1:19" ht="18.5" x14ac:dyDescent="0.45">
      <c r="A472" s="291"/>
      <c r="B472" s="291"/>
      <c r="C472" s="290"/>
      <c r="D472" s="291"/>
      <c r="E472" s="291"/>
      <c r="F472" s="291"/>
      <c r="G472" s="291"/>
      <c r="H472" s="291"/>
      <c r="I472" s="291"/>
      <c r="J472" s="291"/>
      <c r="K472" s="291"/>
      <c r="L472" s="291"/>
      <c r="M472" s="291"/>
      <c r="N472" s="291"/>
      <c r="O472" s="291"/>
      <c r="P472" s="291"/>
      <c r="Q472" s="311"/>
      <c r="R472" s="291"/>
      <c r="S472" s="291"/>
    </row>
    <row r="473" spans="1:19" ht="18.5" x14ac:dyDescent="0.45">
      <c r="A473" s="291"/>
      <c r="B473" s="291"/>
      <c r="C473" s="290"/>
      <c r="D473" s="291"/>
      <c r="E473" s="291"/>
      <c r="F473" s="291"/>
      <c r="G473" s="291"/>
      <c r="H473" s="291"/>
      <c r="I473" s="291"/>
      <c r="J473" s="291"/>
      <c r="K473" s="291"/>
      <c r="L473" s="291"/>
      <c r="M473" s="291"/>
      <c r="N473" s="291"/>
      <c r="O473" s="291"/>
      <c r="P473" s="291"/>
      <c r="Q473" s="311"/>
      <c r="R473" s="291"/>
      <c r="S473" s="291"/>
    </row>
    <row r="474" spans="1:19" ht="18.5" x14ac:dyDescent="0.45">
      <c r="A474" s="291"/>
      <c r="B474" s="291"/>
      <c r="C474" s="290"/>
      <c r="D474" s="291"/>
      <c r="E474" s="291"/>
      <c r="F474" s="291"/>
      <c r="G474" s="291"/>
      <c r="H474" s="291"/>
      <c r="I474" s="291"/>
      <c r="J474" s="291"/>
      <c r="K474" s="291"/>
      <c r="L474" s="291"/>
      <c r="M474" s="291"/>
      <c r="N474" s="291"/>
      <c r="O474" s="291"/>
      <c r="P474" s="291"/>
      <c r="Q474" s="311"/>
      <c r="R474" s="291"/>
      <c r="S474" s="291"/>
    </row>
    <row r="475" spans="1:19" ht="18.5" x14ac:dyDescent="0.45">
      <c r="A475" s="291"/>
      <c r="B475" s="291"/>
      <c r="C475" s="290"/>
      <c r="D475" s="291"/>
      <c r="E475" s="291"/>
      <c r="F475" s="291"/>
      <c r="G475" s="291"/>
      <c r="H475" s="291"/>
      <c r="I475" s="291"/>
      <c r="J475" s="291"/>
      <c r="K475" s="291"/>
      <c r="L475" s="291"/>
      <c r="M475" s="291"/>
      <c r="N475" s="291"/>
      <c r="O475" s="291"/>
      <c r="P475" s="291"/>
      <c r="Q475" s="311"/>
      <c r="R475" s="291"/>
      <c r="S475" s="291"/>
    </row>
    <row r="476" spans="1:19" ht="18.5" x14ac:dyDescent="0.45">
      <c r="A476" s="291"/>
      <c r="B476" s="291"/>
      <c r="C476" s="290"/>
      <c r="D476" s="291"/>
      <c r="E476" s="291"/>
      <c r="F476" s="291"/>
      <c r="G476" s="291"/>
      <c r="H476" s="291"/>
      <c r="I476" s="291"/>
      <c r="J476" s="291"/>
      <c r="K476" s="291"/>
      <c r="L476" s="291"/>
      <c r="M476" s="291"/>
      <c r="N476" s="291"/>
      <c r="O476" s="291"/>
      <c r="P476" s="291"/>
      <c r="Q476" s="311"/>
      <c r="R476" s="291"/>
      <c r="S476" s="291"/>
    </row>
    <row r="477" spans="1:19" ht="18.5" x14ac:dyDescent="0.45">
      <c r="A477" s="291"/>
      <c r="B477" s="291"/>
      <c r="C477" s="290"/>
      <c r="D477" s="291"/>
      <c r="E477" s="291"/>
      <c r="F477" s="291"/>
      <c r="G477" s="291"/>
      <c r="H477" s="291"/>
      <c r="I477" s="291"/>
      <c r="J477" s="291"/>
      <c r="K477" s="291"/>
      <c r="L477" s="291"/>
      <c r="M477" s="291"/>
      <c r="N477" s="291"/>
      <c r="O477" s="291"/>
      <c r="P477" s="291"/>
      <c r="Q477" s="311"/>
      <c r="R477" s="291"/>
      <c r="S477" s="291"/>
    </row>
    <row r="478" spans="1:19" ht="18.5" x14ac:dyDescent="0.45">
      <c r="A478" s="291"/>
      <c r="B478" s="291"/>
      <c r="C478" s="290"/>
      <c r="D478" s="291"/>
      <c r="E478" s="291"/>
      <c r="F478" s="291"/>
      <c r="G478" s="291"/>
      <c r="H478" s="291"/>
      <c r="I478" s="291"/>
      <c r="J478" s="291"/>
      <c r="K478" s="291"/>
      <c r="L478" s="291"/>
      <c r="M478" s="291"/>
      <c r="N478" s="291"/>
      <c r="O478" s="291"/>
      <c r="P478" s="291"/>
      <c r="Q478" s="311"/>
      <c r="R478" s="291"/>
      <c r="S478" s="291"/>
    </row>
    <row r="479" spans="1:19" ht="18.5" x14ac:dyDescent="0.45">
      <c r="A479" s="291"/>
      <c r="B479" s="291"/>
      <c r="C479" s="290"/>
      <c r="D479" s="291"/>
      <c r="E479" s="291"/>
      <c r="F479" s="291"/>
      <c r="G479" s="291"/>
      <c r="H479" s="291"/>
      <c r="I479" s="291"/>
      <c r="J479" s="291"/>
      <c r="K479" s="291"/>
      <c r="L479" s="291"/>
      <c r="M479" s="291"/>
      <c r="N479" s="291"/>
      <c r="O479" s="291"/>
      <c r="P479" s="291"/>
      <c r="Q479" s="311"/>
      <c r="R479" s="291"/>
      <c r="S479" s="291"/>
    </row>
    <row r="480" spans="1:19" ht="18.5" x14ac:dyDescent="0.45">
      <c r="A480" s="291"/>
      <c r="B480" s="291"/>
      <c r="C480" s="290"/>
      <c r="D480" s="291"/>
      <c r="E480" s="291"/>
      <c r="F480" s="291"/>
      <c r="G480" s="291"/>
      <c r="H480" s="291"/>
      <c r="I480" s="291"/>
      <c r="J480" s="291"/>
      <c r="K480" s="291"/>
      <c r="L480" s="291"/>
      <c r="M480" s="291"/>
      <c r="N480" s="291"/>
      <c r="O480" s="291"/>
      <c r="P480" s="291"/>
      <c r="Q480" s="311"/>
      <c r="R480" s="291"/>
      <c r="S480" s="291"/>
    </row>
    <row r="481" spans="1:19" ht="18.5" x14ac:dyDescent="0.45">
      <c r="A481" s="291"/>
      <c r="B481" s="291"/>
      <c r="C481" s="290"/>
      <c r="D481" s="291"/>
      <c r="E481" s="291"/>
      <c r="F481" s="291"/>
      <c r="G481" s="291"/>
      <c r="H481" s="291"/>
      <c r="I481" s="291"/>
      <c r="J481" s="291"/>
      <c r="K481" s="291"/>
      <c r="L481" s="291"/>
      <c r="M481" s="291"/>
      <c r="N481" s="291"/>
      <c r="O481" s="291"/>
      <c r="P481" s="291"/>
      <c r="Q481" s="311"/>
      <c r="R481" s="291"/>
      <c r="S481" s="291"/>
    </row>
    <row r="482" spans="1:19" ht="18.5" x14ac:dyDescent="0.45">
      <c r="A482" s="291"/>
      <c r="B482" s="291"/>
      <c r="C482" s="290"/>
      <c r="D482" s="291"/>
      <c r="E482" s="291"/>
      <c r="F482" s="291"/>
      <c r="G482" s="291"/>
      <c r="H482" s="291"/>
      <c r="I482" s="291"/>
      <c r="J482" s="291"/>
      <c r="K482" s="291"/>
      <c r="L482" s="291"/>
      <c r="M482" s="291"/>
      <c r="N482" s="291"/>
      <c r="O482" s="291"/>
      <c r="P482" s="291"/>
      <c r="Q482" s="311"/>
      <c r="R482" s="291"/>
      <c r="S482" s="291"/>
    </row>
    <row r="483" spans="1:19" ht="18.5" x14ac:dyDescent="0.45">
      <c r="A483" s="291"/>
      <c r="B483" s="291"/>
      <c r="C483" s="290"/>
      <c r="D483" s="291"/>
      <c r="E483" s="291"/>
      <c r="F483" s="291"/>
      <c r="G483" s="291"/>
      <c r="H483" s="291"/>
      <c r="I483" s="291"/>
      <c r="J483" s="291"/>
      <c r="K483" s="291"/>
      <c r="L483" s="291"/>
      <c r="M483" s="291"/>
      <c r="N483" s="291"/>
      <c r="O483" s="291"/>
      <c r="P483" s="291"/>
      <c r="Q483" s="311"/>
      <c r="R483" s="291"/>
      <c r="S483" s="291"/>
    </row>
    <row r="484" spans="1:19" ht="18.5" x14ac:dyDescent="0.45">
      <c r="A484" s="291"/>
      <c r="B484" s="291"/>
      <c r="C484" s="290"/>
      <c r="D484" s="291"/>
      <c r="E484" s="291"/>
      <c r="F484" s="291"/>
      <c r="G484" s="291"/>
      <c r="H484" s="291"/>
      <c r="I484" s="291"/>
      <c r="J484" s="291"/>
      <c r="K484" s="291"/>
      <c r="L484" s="291"/>
      <c r="M484" s="291"/>
      <c r="N484" s="291"/>
      <c r="O484" s="291"/>
      <c r="P484" s="291"/>
      <c r="Q484" s="311"/>
      <c r="R484" s="291"/>
      <c r="S484" s="291"/>
    </row>
    <row r="485" spans="1:19" ht="18.5" x14ac:dyDescent="0.45">
      <c r="A485" s="291"/>
      <c r="B485" s="291"/>
      <c r="C485" s="290"/>
      <c r="D485" s="291"/>
      <c r="E485" s="291"/>
      <c r="F485" s="291"/>
      <c r="G485" s="291"/>
      <c r="H485" s="291"/>
      <c r="I485" s="291"/>
      <c r="J485" s="291"/>
      <c r="K485" s="291"/>
      <c r="L485" s="291"/>
      <c r="M485" s="291"/>
      <c r="N485" s="291"/>
      <c r="O485" s="291"/>
      <c r="P485" s="291"/>
      <c r="Q485" s="311"/>
      <c r="R485" s="291"/>
      <c r="S485" s="291"/>
    </row>
    <row r="486" spans="1:19" ht="18.5" x14ac:dyDescent="0.45">
      <c r="A486" s="291"/>
      <c r="B486" s="291"/>
      <c r="C486" s="290"/>
      <c r="D486" s="291"/>
      <c r="E486" s="291"/>
      <c r="F486" s="291"/>
      <c r="G486" s="291"/>
      <c r="H486" s="291"/>
      <c r="I486" s="291"/>
      <c r="J486" s="291"/>
      <c r="K486" s="291"/>
      <c r="L486" s="291"/>
      <c r="M486" s="291"/>
      <c r="N486" s="291"/>
      <c r="O486" s="291"/>
      <c r="P486" s="291"/>
      <c r="Q486" s="311"/>
      <c r="R486" s="291"/>
      <c r="S486" s="291"/>
    </row>
    <row r="487" spans="1:19" ht="18.5" x14ac:dyDescent="0.45">
      <c r="A487" s="291"/>
      <c r="B487" s="291"/>
      <c r="C487" s="290"/>
      <c r="D487" s="291"/>
      <c r="E487" s="291"/>
      <c r="F487" s="291"/>
      <c r="G487" s="291"/>
      <c r="H487" s="291"/>
      <c r="I487" s="291"/>
      <c r="J487" s="291"/>
      <c r="K487" s="291"/>
      <c r="L487" s="291"/>
      <c r="M487" s="291"/>
      <c r="N487" s="291"/>
      <c r="O487" s="291"/>
      <c r="P487" s="291"/>
      <c r="Q487" s="311"/>
      <c r="R487" s="291"/>
      <c r="S487" s="291"/>
    </row>
    <row r="488" spans="1:19" ht="18.5" x14ac:dyDescent="0.45">
      <c r="A488" s="291"/>
      <c r="B488" s="291"/>
      <c r="C488" s="290"/>
      <c r="D488" s="291"/>
      <c r="E488" s="291"/>
      <c r="F488" s="291"/>
      <c r="G488" s="291"/>
      <c r="H488" s="291"/>
      <c r="I488" s="291"/>
      <c r="J488" s="291"/>
      <c r="K488" s="291"/>
      <c r="L488" s="291"/>
      <c r="M488" s="291"/>
      <c r="N488" s="291"/>
      <c r="O488" s="291"/>
      <c r="P488" s="291"/>
      <c r="Q488" s="311"/>
      <c r="R488" s="291"/>
      <c r="S488" s="291"/>
    </row>
    <row r="489" spans="1:19" ht="18.5" x14ac:dyDescent="0.45">
      <c r="A489" s="291"/>
      <c r="B489" s="291"/>
      <c r="C489" s="290"/>
      <c r="D489" s="291"/>
      <c r="E489" s="291"/>
      <c r="F489" s="291"/>
      <c r="G489" s="291"/>
      <c r="H489" s="291"/>
      <c r="I489" s="291"/>
      <c r="J489" s="291"/>
      <c r="K489" s="291"/>
      <c r="L489" s="291"/>
      <c r="M489" s="291"/>
      <c r="N489" s="291"/>
      <c r="O489" s="291"/>
      <c r="P489" s="291"/>
      <c r="Q489" s="311"/>
      <c r="R489" s="291"/>
      <c r="S489" s="291"/>
    </row>
    <row r="490" spans="1:19" ht="18.5" x14ac:dyDescent="0.45">
      <c r="A490" s="291"/>
      <c r="B490" s="291"/>
      <c r="C490" s="290"/>
      <c r="D490" s="291"/>
      <c r="E490" s="291"/>
      <c r="F490" s="291"/>
      <c r="G490" s="291"/>
      <c r="H490" s="291"/>
      <c r="I490" s="291"/>
      <c r="J490" s="291"/>
      <c r="K490" s="291"/>
      <c r="L490" s="291"/>
      <c r="M490" s="291"/>
      <c r="N490" s="291"/>
      <c r="O490" s="291"/>
      <c r="P490" s="291"/>
      <c r="Q490" s="311"/>
      <c r="R490" s="291"/>
      <c r="S490" s="291"/>
    </row>
    <row r="491" spans="1:19" ht="18.5" x14ac:dyDescent="0.45">
      <c r="A491" s="291"/>
      <c r="B491" s="291"/>
      <c r="C491" s="290"/>
      <c r="D491" s="291"/>
      <c r="E491" s="291"/>
      <c r="F491" s="291"/>
      <c r="G491" s="291"/>
      <c r="H491" s="291"/>
      <c r="I491" s="291"/>
      <c r="J491" s="291"/>
      <c r="K491" s="291"/>
      <c r="L491" s="291"/>
      <c r="M491" s="291"/>
      <c r="N491" s="291"/>
      <c r="O491" s="291"/>
      <c r="P491" s="291"/>
      <c r="Q491" s="311"/>
      <c r="R491" s="291"/>
      <c r="S491" s="291"/>
    </row>
    <row r="492" spans="1:19" ht="18.5" x14ac:dyDescent="0.45">
      <c r="A492" s="291"/>
      <c r="B492" s="291"/>
      <c r="C492" s="290"/>
      <c r="D492" s="291"/>
      <c r="E492" s="291"/>
      <c r="F492" s="291"/>
      <c r="G492" s="291"/>
      <c r="H492" s="291"/>
      <c r="I492" s="291"/>
      <c r="J492" s="291"/>
      <c r="K492" s="291"/>
      <c r="L492" s="291"/>
      <c r="M492" s="291"/>
      <c r="N492" s="291"/>
      <c r="O492" s="291"/>
      <c r="P492" s="291"/>
      <c r="Q492" s="311"/>
      <c r="R492" s="291"/>
      <c r="S492" s="291"/>
    </row>
    <row r="493" spans="1:19" ht="18.5" x14ac:dyDescent="0.45">
      <c r="A493" s="291"/>
      <c r="B493" s="291"/>
      <c r="C493" s="290"/>
      <c r="D493" s="291"/>
      <c r="E493" s="291"/>
      <c r="F493" s="291"/>
      <c r="G493" s="291"/>
      <c r="H493" s="291"/>
      <c r="I493" s="291"/>
      <c r="J493" s="291"/>
      <c r="K493" s="291"/>
      <c r="L493" s="291"/>
      <c r="M493" s="291"/>
      <c r="N493" s="291"/>
      <c r="O493" s="291"/>
      <c r="P493" s="291"/>
      <c r="Q493" s="311"/>
      <c r="R493" s="291"/>
      <c r="S493" s="291"/>
    </row>
    <row r="494" spans="1:19" ht="18.5" x14ac:dyDescent="0.45">
      <c r="A494" s="291"/>
      <c r="B494" s="291"/>
      <c r="C494" s="290"/>
      <c r="D494" s="291"/>
      <c r="E494" s="291"/>
      <c r="F494" s="291"/>
      <c r="G494" s="291"/>
      <c r="H494" s="291"/>
      <c r="I494" s="291"/>
      <c r="J494" s="291"/>
      <c r="K494" s="291"/>
      <c r="L494" s="291"/>
      <c r="M494" s="291"/>
      <c r="N494" s="291"/>
      <c r="O494" s="291"/>
      <c r="P494" s="291"/>
      <c r="Q494" s="311"/>
      <c r="R494" s="291"/>
      <c r="S494" s="291"/>
    </row>
    <row r="495" spans="1:19" ht="18.5" x14ac:dyDescent="0.45">
      <c r="A495" s="291"/>
      <c r="B495" s="291"/>
      <c r="C495" s="290"/>
      <c r="D495" s="291"/>
      <c r="E495" s="291"/>
      <c r="F495" s="291"/>
      <c r="G495" s="291"/>
      <c r="H495" s="291"/>
      <c r="I495" s="291"/>
      <c r="J495" s="291"/>
      <c r="K495" s="291"/>
      <c r="L495" s="291"/>
      <c r="M495" s="291"/>
      <c r="N495" s="291"/>
      <c r="O495" s="291"/>
      <c r="P495" s="291"/>
      <c r="Q495" s="311"/>
      <c r="R495" s="291"/>
      <c r="S495" s="291"/>
    </row>
    <row r="496" spans="1:19" ht="18.5" x14ac:dyDescent="0.45">
      <c r="A496" s="291"/>
      <c r="B496" s="291"/>
      <c r="C496" s="290"/>
      <c r="D496" s="291"/>
      <c r="E496" s="291"/>
      <c r="F496" s="291"/>
      <c r="G496" s="291"/>
      <c r="H496" s="291"/>
      <c r="I496" s="291"/>
      <c r="J496" s="291"/>
      <c r="K496" s="291"/>
      <c r="L496" s="291"/>
      <c r="M496" s="291"/>
      <c r="N496" s="291"/>
      <c r="O496" s="291"/>
      <c r="P496" s="291"/>
      <c r="Q496" s="311"/>
      <c r="R496" s="291"/>
      <c r="S496" s="291"/>
    </row>
    <row r="497" spans="1:19" ht="18.5" x14ac:dyDescent="0.45">
      <c r="A497" s="291"/>
      <c r="B497" s="291"/>
      <c r="C497" s="290"/>
      <c r="D497" s="291"/>
      <c r="E497" s="291"/>
      <c r="F497" s="291"/>
      <c r="G497" s="291"/>
      <c r="H497" s="291"/>
      <c r="I497" s="291"/>
      <c r="J497" s="291"/>
      <c r="K497" s="291"/>
      <c r="L497" s="291"/>
      <c r="M497" s="291"/>
      <c r="N497" s="291"/>
      <c r="O497" s="291"/>
      <c r="P497" s="291"/>
      <c r="Q497" s="311"/>
      <c r="R497" s="291"/>
      <c r="S497" s="291"/>
    </row>
    <row r="498" spans="1:19" ht="18.5" x14ac:dyDescent="0.45">
      <c r="A498" s="291"/>
      <c r="B498" s="291"/>
      <c r="C498" s="290"/>
      <c r="D498" s="291"/>
      <c r="E498" s="291"/>
      <c r="F498" s="291"/>
      <c r="G498" s="291"/>
      <c r="H498" s="291"/>
      <c r="I498" s="291"/>
      <c r="J498" s="291"/>
      <c r="K498" s="291"/>
      <c r="L498" s="291"/>
      <c r="M498" s="291"/>
      <c r="N498" s="291"/>
      <c r="O498" s="291"/>
      <c r="P498" s="291"/>
      <c r="Q498" s="311"/>
      <c r="R498" s="291"/>
      <c r="S498" s="291"/>
    </row>
    <row r="499" spans="1:19" ht="18.5" x14ac:dyDescent="0.45">
      <c r="A499" s="291"/>
      <c r="B499" s="291"/>
      <c r="C499" s="290"/>
      <c r="D499" s="291"/>
      <c r="E499" s="291"/>
      <c r="F499" s="291"/>
      <c r="G499" s="291"/>
      <c r="H499" s="291"/>
      <c r="I499" s="291"/>
      <c r="J499" s="291"/>
      <c r="K499" s="291"/>
      <c r="L499" s="291"/>
      <c r="M499" s="291"/>
      <c r="N499" s="291"/>
      <c r="O499" s="291"/>
      <c r="P499" s="291"/>
      <c r="Q499" s="311"/>
      <c r="R499" s="291"/>
      <c r="S499" s="291"/>
    </row>
    <row r="500" spans="1:19" ht="18.5" x14ac:dyDescent="0.45">
      <c r="A500" s="291"/>
      <c r="B500" s="291"/>
      <c r="C500" s="290"/>
      <c r="D500" s="291"/>
      <c r="E500" s="291"/>
      <c r="F500" s="291"/>
      <c r="G500" s="291"/>
      <c r="H500" s="291"/>
      <c r="I500" s="291"/>
      <c r="J500" s="291"/>
      <c r="K500" s="291"/>
      <c r="L500" s="291"/>
      <c r="M500" s="291"/>
      <c r="N500" s="291"/>
      <c r="O500" s="291"/>
      <c r="P500" s="291"/>
      <c r="Q500" s="311"/>
      <c r="R500" s="291"/>
      <c r="S500" s="291"/>
    </row>
    <row r="501" spans="1:19" ht="18.5" x14ac:dyDescent="0.45">
      <c r="A501" s="291"/>
      <c r="B501" s="291"/>
      <c r="C501" s="290"/>
      <c r="D501" s="291"/>
      <c r="E501" s="291"/>
      <c r="F501" s="291"/>
      <c r="G501" s="291"/>
      <c r="H501" s="291"/>
      <c r="I501" s="291"/>
      <c r="J501" s="291"/>
      <c r="K501" s="291"/>
      <c r="L501" s="291"/>
      <c r="M501" s="291"/>
      <c r="N501" s="291"/>
      <c r="O501" s="291"/>
      <c r="P501" s="291"/>
      <c r="Q501" s="311"/>
      <c r="R501" s="291"/>
      <c r="S501" s="291"/>
    </row>
    <row r="502" spans="1:19" ht="18.5" x14ac:dyDescent="0.45">
      <c r="A502" s="291"/>
      <c r="B502" s="291"/>
      <c r="C502" s="290"/>
      <c r="D502" s="291"/>
      <c r="E502" s="291"/>
      <c r="F502" s="291"/>
      <c r="G502" s="291"/>
      <c r="H502" s="291"/>
      <c r="I502" s="291"/>
      <c r="J502" s="291"/>
      <c r="K502" s="291"/>
      <c r="L502" s="291"/>
      <c r="M502" s="291"/>
      <c r="N502" s="291"/>
      <c r="O502" s="291"/>
      <c r="P502" s="291"/>
      <c r="Q502" s="311"/>
      <c r="R502" s="291"/>
      <c r="S502" s="291"/>
    </row>
    <row r="503" spans="1:19" ht="18.5" x14ac:dyDescent="0.45">
      <c r="A503" s="291"/>
      <c r="B503" s="291"/>
      <c r="C503" s="290"/>
      <c r="D503" s="291"/>
      <c r="E503" s="291"/>
      <c r="F503" s="291"/>
      <c r="G503" s="291"/>
      <c r="H503" s="291"/>
      <c r="I503" s="291"/>
      <c r="J503" s="291"/>
      <c r="K503" s="291"/>
      <c r="L503" s="291"/>
      <c r="M503" s="291"/>
      <c r="N503" s="291"/>
      <c r="O503" s="291"/>
      <c r="P503" s="291"/>
      <c r="Q503" s="311"/>
      <c r="R503" s="291"/>
      <c r="S503" s="291"/>
    </row>
    <row r="504" spans="1:19" ht="18.5" x14ac:dyDescent="0.45">
      <c r="A504" s="291"/>
      <c r="B504" s="291"/>
      <c r="C504" s="290"/>
      <c r="D504" s="291"/>
      <c r="E504" s="291"/>
      <c r="F504" s="291"/>
      <c r="G504" s="291"/>
      <c r="H504" s="291"/>
      <c r="I504" s="291"/>
      <c r="J504" s="291"/>
      <c r="K504" s="291"/>
      <c r="L504" s="291"/>
      <c r="M504" s="291"/>
      <c r="N504" s="291"/>
      <c r="O504" s="291"/>
      <c r="P504" s="291"/>
      <c r="Q504" s="311"/>
      <c r="R504" s="291"/>
      <c r="S504" s="291"/>
    </row>
    <row r="505" spans="1:19" ht="18.5" x14ac:dyDescent="0.45">
      <c r="A505" s="291"/>
      <c r="B505" s="291"/>
      <c r="C505" s="290"/>
      <c r="D505" s="291"/>
      <c r="E505" s="291"/>
      <c r="F505" s="291"/>
      <c r="G505" s="291"/>
      <c r="H505" s="291"/>
      <c r="I505" s="291"/>
      <c r="J505" s="291"/>
      <c r="K505" s="291"/>
      <c r="L505" s="291"/>
      <c r="M505" s="291"/>
      <c r="N505" s="291"/>
      <c r="O505" s="291"/>
      <c r="P505" s="291"/>
      <c r="Q505" s="311"/>
      <c r="R505" s="291"/>
      <c r="S505" s="291"/>
    </row>
    <row r="506" spans="1:19" ht="18.5" x14ac:dyDescent="0.45">
      <c r="A506" s="291"/>
      <c r="B506" s="291"/>
      <c r="C506" s="290"/>
      <c r="D506" s="291"/>
      <c r="E506" s="291"/>
      <c r="F506" s="291"/>
      <c r="G506" s="291"/>
      <c r="H506" s="291"/>
      <c r="I506" s="291"/>
      <c r="J506" s="291"/>
      <c r="K506" s="291"/>
      <c r="L506" s="291"/>
      <c r="M506" s="291"/>
      <c r="N506" s="291"/>
      <c r="O506" s="291"/>
      <c r="P506" s="291"/>
      <c r="Q506" s="311"/>
      <c r="R506" s="291"/>
      <c r="S506" s="291"/>
    </row>
    <row r="507" spans="1:19" ht="18.5" x14ac:dyDescent="0.45">
      <c r="A507" s="291"/>
      <c r="B507" s="291"/>
      <c r="C507" s="290"/>
      <c r="D507" s="291"/>
      <c r="E507" s="291"/>
      <c r="F507" s="291"/>
      <c r="G507" s="291"/>
      <c r="H507" s="291"/>
      <c r="I507" s="291"/>
      <c r="J507" s="291"/>
      <c r="K507" s="291"/>
      <c r="L507" s="291"/>
      <c r="M507" s="291"/>
      <c r="N507" s="291"/>
      <c r="O507" s="291"/>
      <c r="P507" s="291"/>
      <c r="Q507" s="311"/>
      <c r="R507" s="291"/>
      <c r="S507" s="291"/>
    </row>
    <row r="508" spans="1:19" ht="18.5" x14ac:dyDescent="0.45">
      <c r="A508" s="291"/>
      <c r="B508" s="291"/>
      <c r="C508" s="290"/>
      <c r="D508" s="291"/>
      <c r="E508" s="291"/>
      <c r="F508" s="291"/>
      <c r="G508" s="291"/>
      <c r="H508" s="291"/>
      <c r="I508" s="291"/>
      <c r="J508" s="291"/>
      <c r="K508" s="291"/>
      <c r="L508" s="291"/>
      <c r="M508" s="291"/>
      <c r="N508" s="291"/>
      <c r="O508" s="291"/>
      <c r="P508" s="291"/>
      <c r="Q508" s="311"/>
      <c r="R508" s="291"/>
      <c r="S508" s="291"/>
    </row>
    <row r="509" spans="1:19" ht="18.5" x14ac:dyDescent="0.45">
      <c r="A509" s="291"/>
      <c r="B509" s="291"/>
      <c r="C509" s="290"/>
      <c r="D509" s="291"/>
      <c r="E509" s="291"/>
      <c r="F509" s="291"/>
      <c r="G509" s="291"/>
      <c r="H509" s="291"/>
      <c r="I509" s="291"/>
      <c r="J509" s="291"/>
      <c r="K509" s="291"/>
      <c r="L509" s="291"/>
      <c r="M509" s="291"/>
      <c r="N509" s="291"/>
      <c r="O509" s="291"/>
      <c r="P509" s="291"/>
      <c r="Q509" s="311"/>
      <c r="R509" s="291"/>
      <c r="S509" s="291"/>
    </row>
    <row r="510" spans="1:19" ht="18.5" x14ac:dyDescent="0.45">
      <c r="A510" s="291"/>
      <c r="B510" s="291"/>
      <c r="C510" s="290"/>
      <c r="D510" s="291"/>
      <c r="E510" s="291"/>
      <c r="F510" s="291"/>
      <c r="G510" s="291"/>
      <c r="H510" s="291"/>
      <c r="I510" s="291"/>
      <c r="J510" s="291"/>
      <c r="K510" s="291"/>
      <c r="L510" s="291"/>
      <c r="M510" s="291"/>
      <c r="N510" s="291"/>
      <c r="O510" s="291"/>
      <c r="P510" s="291"/>
      <c r="Q510" s="311"/>
      <c r="R510" s="291"/>
      <c r="S510" s="291"/>
    </row>
    <row r="511" spans="1:19" ht="18.5" x14ac:dyDescent="0.45">
      <c r="A511" s="291"/>
      <c r="B511" s="291"/>
      <c r="C511" s="290"/>
      <c r="D511" s="291"/>
      <c r="E511" s="291"/>
      <c r="F511" s="291"/>
      <c r="G511" s="291"/>
      <c r="H511" s="291"/>
      <c r="I511" s="291"/>
      <c r="J511" s="291"/>
      <c r="K511" s="291"/>
      <c r="L511" s="291"/>
      <c r="M511" s="291"/>
      <c r="N511" s="291"/>
      <c r="O511" s="291"/>
      <c r="P511" s="291"/>
      <c r="Q511" s="311"/>
      <c r="R511" s="291"/>
      <c r="S511" s="291"/>
    </row>
    <row r="512" spans="1:19" ht="18.5" x14ac:dyDescent="0.45">
      <c r="A512" s="291"/>
      <c r="B512" s="291"/>
      <c r="C512" s="290"/>
      <c r="D512" s="291"/>
      <c r="E512" s="291"/>
      <c r="F512" s="291"/>
      <c r="G512" s="291"/>
      <c r="H512" s="291"/>
      <c r="I512" s="291"/>
      <c r="J512" s="291"/>
      <c r="K512" s="291"/>
      <c r="L512" s="291"/>
      <c r="M512" s="291"/>
      <c r="N512" s="291"/>
      <c r="O512" s="291"/>
      <c r="P512" s="291"/>
      <c r="Q512" s="311"/>
      <c r="R512" s="291"/>
      <c r="S512" s="291"/>
    </row>
    <row r="513" spans="1:19" ht="18.5" x14ac:dyDescent="0.45">
      <c r="A513" s="291"/>
      <c r="B513" s="291"/>
      <c r="C513" s="290"/>
      <c r="D513" s="291"/>
      <c r="E513" s="291"/>
      <c r="F513" s="291"/>
      <c r="G513" s="291"/>
      <c r="H513" s="291"/>
      <c r="I513" s="291"/>
      <c r="J513" s="291"/>
      <c r="K513" s="291"/>
      <c r="L513" s="291"/>
      <c r="M513" s="291"/>
      <c r="N513" s="291"/>
      <c r="O513" s="291"/>
      <c r="P513" s="291"/>
      <c r="Q513" s="311"/>
      <c r="R513" s="291"/>
      <c r="S513" s="291"/>
    </row>
    <row r="514" spans="1:19" ht="18.5" x14ac:dyDescent="0.45">
      <c r="A514" s="291"/>
      <c r="B514" s="291"/>
      <c r="C514" s="290"/>
      <c r="D514" s="291"/>
      <c r="E514" s="291"/>
      <c r="F514" s="291"/>
      <c r="G514" s="291"/>
      <c r="H514" s="291"/>
      <c r="I514" s="291"/>
      <c r="J514" s="291"/>
      <c r="K514" s="291"/>
      <c r="L514" s="291"/>
      <c r="M514" s="291"/>
      <c r="N514" s="291"/>
      <c r="O514" s="291"/>
      <c r="P514" s="291"/>
      <c r="Q514" s="311"/>
      <c r="R514" s="291"/>
      <c r="S514" s="291"/>
    </row>
    <row r="515" spans="1:19" ht="18.5" x14ac:dyDescent="0.45">
      <c r="A515" s="291"/>
      <c r="B515" s="291"/>
      <c r="C515" s="290"/>
      <c r="D515" s="291"/>
      <c r="E515" s="291"/>
      <c r="F515" s="291"/>
      <c r="G515" s="291"/>
      <c r="H515" s="291"/>
      <c r="I515" s="291"/>
      <c r="J515" s="291"/>
      <c r="K515" s="291"/>
      <c r="L515" s="291"/>
      <c r="M515" s="291"/>
      <c r="N515" s="291"/>
      <c r="O515" s="291"/>
      <c r="P515" s="291"/>
      <c r="Q515" s="311"/>
      <c r="R515" s="291"/>
      <c r="S515" s="291"/>
    </row>
    <row r="516" spans="1:19" ht="18.5" x14ac:dyDescent="0.45">
      <c r="A516" s="291"/>
      <c r="B516" s="291"/>
      <c r="C516" s="290"/>
      <c r="D516" s="291"/>
      <c r="E516" s="291"/>
      <c r="F516" s="291"/>
      <c r="G516" s="291"/>
      <c r="H516" s="291"/>
      <c r="I516" s="291"/>
      <c r="J516" s="291"/>
      <c r="K516" s="291"/>
      <c r="L516" s="291"/>
      <c r="M516" s="291"/>
      <c r="N516" s="291"/>
      <c r="O516" s="291"/>
      <c r="P516" s="291"/>
      <c r="Q516" s="311"/>
      <c r="R516" s="291"/>
      <c r="S516" s="291"/>
    </row>
    <row r="517" spans="1:19" ht="18.5" x14ac:dyDescent="0.45">
      <c r="A517" s="291"/>
      <c r="B517" s="291"/>
      <c r="C517" s="290"/>
      <c r="D517" s="291"/>
      <c r="E517" s="291"/>
      <c r="F517" s="291"/>
      <c r="G517" s="291"/>
      <c r="H517" s="291"/>
      <c r="I517" s="291"/>
      <c r="J517" s="291"/>
      <c r="K517" s="291"/>
      <c r="L517" s="291"/>
      <c r="M517" s="291"/>
      <c r="N517" s="291"/>
      <c r="O517" s="291"/>
      <c r="P517" s="291"/>
      <c r="Q517" s="311"/>
      <c r="R517" s="291"/>
      <c r="S517" s="291"/>
    </row>
    <row r="518" spans="1:19" ht="18.5" x14ac:dyDescent="0.45">
      <c r="A518" s="291"/>
      <c r="B518" s="291"/>
      <c r="C518" s="290"/>
      <c r="D518" s="291"/>
      <c r="E518" s="291"/>
      <c r="F518" s="291"/>
      <c r="G518" s="291"/>
      <c r="H518" s="291"/>
      <c r="I518" s="291"/>
      <c r="J518" s="291"/>
      <c r="K518" s="291"/>
      <c r="L518" s="291"/>
      <c r="M518" s="291"/>
      <c r="N518" s="291"/>
      <c r="O518" s="291"/>
      <c r="P518" s="291"/>
      <c r="Q518" s="311"/>
      <c r="R518" s="291"/>
      <c r="S518" s="291"/>
    </row>
    <row r="519" spans="1:19" ht="18.5" x14ac:dyDescent="0.45">
      <c r="A519" s="291"/>
      <c r="B519" s="291"/>
      <c r="C519" s="290"/>
      <c r="D519" s="291"/>
      <c r="E519" s="291"/>
      <c r="F519" s="291"/>
      <c r="G519" s="291"/>
      <c r="H519" s="291"/>
      <c r="I519" s="291"/>
      <c r="J519" s="291"/>
      <c r="K519" s="291"/>
      <c r="L519" s="291"/>
      <c r="M519" s="291"/>
      <c r="N519" s="291"/>
      <c r="O519" s="291"/>
      <c r="P519" s="291"/>
      <c r="Q519" s="311"/>
      <c r="R519" s="291"/>
      <c r="S519" s="291"/>
    </row>
    <row r="520" spans="1:19" ht="18.5" x14ac:dyDescent="0.45">
      <c r="A520" s="291"/>
      <c r="B520" s="291"/>
      <c r="C520" s="290"/>
      <c r="D520" s="291"/>
      <c r="E520" s="291"/>
      <c r="F520" s="291"/>
      <c r="G520" s="291"/>
      <c r="H520" s="291"/>
      <c r="I520" s="291"/>
      <c r="J520" s="291"/>
      <c r="K520" s="291"/>
      <c r="L520" s="291"/>
      <c r="M520" s="291"/>
      <c r="N520" s="291"/>
      <c r="O520" s="291"/>
      <c r="P520" s="291"/>
      <c r="Q520" s="311"/>
      <c r="R520" s="291"/>
      <c r="S520" s="291"/>
    </row>
    <row r="521" spans="1:19" ht="18.5" x14ac:dyDescent="0.45">
      <c r="A521" s="291"/>
      <c r="B521" s="291"/>
      <c r="C521" s="290"/>
      <c r="D521" s="291"/>
      <c r="E521" s="291"/>
      <c r="F521" s="291"/>
      <c r="G521" s="291"/>
      <c r="H521" s="291"/>
      <c r="I521" s="291"/>
      <c r="J521" s="291"/>
      <c r="K521" s="291"/>
      <c r="L521" s="291"/>
      <c r="M521" s="291"/>
      <c r="N521" s="291"/>
      <c r="O521" s="291"/>
      <c r="P521" s="291"/>
      <c r="Q521" s="311"/>
      <c r="R521" s="291"/>
      <c r="S521" s="291"/>
    </row>
    <row r="522" spans="1:19" ht="18.5" x14ac:dyDescent="0.45">
      <c r="A522" s="291"/>
      <c r="B522" s="291"/>
      <c r="C522" s="290"/>
      <c r="D522" s="291"/>
      <c r="E522" s="291"/>
      <c r="F522" s="291"/>
      <c r="G522" s="291"/>
      <c r="H522" s="291"/>
      <c r="I522" s="291"/>
      <c r="J522" s="291"/>
      <c r="K522" s="291"/>
      <c r="L522" s="291"/>
      <c r="M522" s="291"/>
      <c r="N522" s="291"/>
      <c r="O522" s="291"/>
      <c r="P522" s="291"/>
      <c r="Q522" s="311"/>
      <c r="R522" s="291"/>
      <c r="S522" s="291"/>
    </row>
    <row r="523" spans="1:19" ht="18.5" x14ac:dyDescent="0.45">
      <c r="A523" s="291"/>
      <c r="B523" s="291"/>
      <c r="C523" s="290"/>
      <c r="D523" s="291"/>
      <c r="E523" s="291"/>
      <c r="F523" s="291"/>
      <c r="G523" s="291"/>
      <c r="H523" s="291"/>
      <c r="I523" s="291"/>
      <c r="J523" s="291"/>
      <c r="K523" s="291"/>
      <c r="L523" s="291"/>
      <c r="M523" s="291"/>
      <c r="N523" s="291"/>
      <c r="O523" s="291"/>
      <c r="P523" s="291"/>
      <c r="Q523" s="311"/>
      <c r="R523" s="291"/>
      <c r="S523" s="291"/>
    </row>
    <row r="524" spans="1:19" ht="18.5" x14ac:dyDescent="0.45">
      <c r="A524" s="291"/>
      <c r="B524" s="291"/>
      <c r="C524" s="290"/>
      <c r="D524" s="291"/>
      <c r="E524" s="291"/>
      <c r="F524" s="291"/>
      <c r="G524" s="291"/>
      <c r="H524" s="291"/>
      <c r="I524" s="291"/>
      <c r="J524" s="291"/>
      <c r="K524" s="291"/>
      <c r="L524" s="291"/>
      <c r="M524" s="291"/>
      <c r="N524" s="291"/>
      <c r="O524" s="291"/>
      <c r="P524" s="291"/>
      <c r="Q524" s="311"/>
      <c r="R524" s="291"/>
      <c r="S524" s="291"/>
    </row>
    <row r="525" spans="1:19" ht="18.5" x14ac:dyDescent="0.45">
      <c r="A525" s="291"/>
      <c r="B525" s="291"/>
      <c r="C525" s="290"/>
      <c r="D525" s="291"/>
      <c r="E525" s="291"/>
      <c r="F525" s="291"/>
      <c r="G525" s="291"/>
      <c r="H525" s="291"/>
      <c r="I525" s="291"/>
      <c r="J525" s="291"/>
      <c r="K525" s="291"/>
      <c r="L525" s="291"/>
      <c r="M525" s="291"/>
      <c r="N525" s="291"/>
      <c r="O525" s="291"/>
      <c r="P525" s="291"/>
      <c r="Q525" s="311"/>
      <c r="R525" s="291"/>
      <c r="S525" s="291"/>
    </row>
    <row r="526" spans="1:19" ht="18.5" x14ac:dyDescent="0.45">
      <c r="A526" s="291"/>
      <c r="B526" s="291"/>
      <c r="C526" s="290"/>
      <c r="D526" s="291"/>
      <c r="E526" s="291"/>
      <c r="F526" s="291"/>
      <c r="G526" s="291"/>
      <c r="H526" s="291"/>
      <c r="I526" s="291"/>
      <c r="J526" s="291"/>
      <c r="K526" s="291"/>
      <c r="L526" s="291"/>
      <c r="M526" s="291"/>
      <c r="N526" s="291"/>
      <c r="O526" s="291"/>
      <c r="P526" s="291"/>
      <c r="Q526" s="311"/>
      <c r="R526" s="291"/>
      <c r="S526" s="291"/>
    </row>
    <row r="527" spans="1:19" ht="18.5" x14ac:dyDescent="0.45">
      <c r="A527" s="291"/>
      <c r="B527" s="291"/>
      <c r="C527" s="290"/>
      <c r="D527" s="291"/>
      <c r="E527" s="291"/>
      <c r="F527" s="291"/>
      <c r="G527" s="291"/>
      <c r="H527" s="291"/>
      <c r="I527" s="291"/>
      <c r="J527" s="291"/>
      <c r="K527" s="291"/>
      <c r="L527" s="291"/>
      <c r="M527" s="291"/>
      <c r="N527" s="291"/>
      <c r="O527" s="291"/>
      <c r="P527" s="291"/>
      <c r="Q527" s="311"/>
      <c r="R527" s="291"/>
      <c r="S527" s="291"/>
    </row>
    <row r="528" spans="1:19" ht="18.5" x14ac:dyDescent="0.45">
      <c r="A528" s="291"/>
      <c r="B528" s="291"/>
      <c r="C528" s="290"/>
      <c r="D528" s="291"/>
      <c r="E528" s="291"/>
      <c r="F528" s="291"/>
      <c r="G528" s="291"/>
      <c r="H528" s="291"/>
      <c r="I528" s="291"/>
      <c r="J528" s="291"/>
      <c r="K528" s="291"/>
      <c r="L528" s="291"/>
      <c r="M528" s="291"/>
      <c r="N528" s="291"/>
      <c r="O528" s="291"/>
      <c r="P528" s="291"/>
      <c r="Q528" s="311"/>
      <c r="R528" s="291"/>
      <c r="S528" s="291"/>
    </row>
    <row r="529" spans="1:19" ht="18.5" x14ac:dyDescent="0.45">
      <c r="A529" s="291"/>
      <c r="B529" s="291"/>
      <c r="C529" s="290"/>
      <c r="D529" s="291"/>
      <c r="E529" s="291"/>
      <c r="F529" s="291"/>
      <c r="G529" s="291"/>
      <c r="H529" s="291"/>
      <c r="I529" s="291"/>
      <c r="J529" s="291"/>
      <c r="K529" s="291"/>
      <c r="L529" s="291"/>
      <c r="M529" s="291"/>
      <c r="N529" s="291"/>
      <c r="O529" s="291"/>
      <c r="P529" s="291"/>
      <c r="Q529" s="311"/>
      <c r="R529" s="291"/>
      <c r="S529" s="291"/>
    </row>
    <row r="530" spans="1:19" ht="18.5" x14ac:dyDescent="0.45">
      <c r="A530" s="291"/>
      <c r="B530" s="291"/>
      <c r="C530" s="290"/>
      <c r="D530" s="291"/>
      <c r="E530" s="291"/>
      <c r="F530" s="291"/>
      <c r="G530" s="291"/>
      <c r="H530" s="291"/>
      <c r="I530" s="291"/>
      <c r="J530" s="291"/>
      <c r="K530" s="291"/>
      <c r="L530" s="291"/>
      <c r="M530" s="291"/>
      <c r="N530" s="291"/>
      <c r="O530" s="291"/>
      <c r="P530" s="291"/>
      <c r="Q530" s="311"/>
      <c r="R530" s="291"/>
      <c r="S530" s="291"/>
    </row>
    <row r="531" spans="1:19" ht="18.5" x14ac:dyDescent="0.45">
      <c r="A531" s="291"/>
      <c r="B531" s="291"/>
      <c r="C531" s="290"/>
      <c r="D531" s="291"/>
      <c r="E531" s="291"/>
      <c r="F531" s="291"/>
      <c r="G531" s="291"/>
      <c r="H531" s="291"/>
      <c r="I531" s="291"/>
      <c r="J531" s="291"/>
      <c r="K531" s="291"/>
      <c r="L531" s="291"/>
      <c r="M531" s="291"/>
      <c r="N531" s="291"/>
      <c r="O531" s="291"/>
      <c r="P531" s="291"/>
      <c r="Q531" s="311"/>
      <c r="R531" s="291"/>
      <c r="S531" s="291"/>
    </row>
    <row r="532" spans="1:19" ht="18.5" x14ac:dyDescent="0.45">
      <c r="A532" s="291"/>
      <c r="B532" s="291"/>
      <c r="C532" s="290"/>
      <c r="D532" s="291"/>
      <c r="E532" s="291"/>
      <c r="F532" s="291"/>
      <c r="G532" s="291"/>
      <c r="H532" s="291"/>
      <c r="I532" s="291"/>
      <c r="J532" s="291"/>
      <c r="K532" s="291"/>
      <c r="L532" s="291"/>
      <c r="M532" s="291"/>
      <c r="N532" s="291"/>
      <c r="O532" s="291"/>
      <c r="P532" s="291"/>
      <c r="Q532" s="311"/>
      <c r="R532" s="291"/>
      <c r="S532" s="291"/>
    </row>
    <row r="533" spans="1:19" ht="18.5" x14ac:dyDescent="0.45">
      <c r="A533" s="291"/>
      <c r="B533" s="291"/>
      <c r="C533" s="290"/>
      <c r="D533" s="291"/>
      <c r="E533" s="291"/>
      <c r="F533" s="291"/>
      <c r="G533" s="291"/>
      <c r="H533" s="291"/>
      <c r="I533" s="291"/>
      <c r="J533" s="291"/>
      <c r="K533" s="291"/>
      <c r="L533" s="291"/>
      <c r="M533" s="291"/>
      <c r="N533" s="291"/>
      <c r="O533" s="291"/>
      <c r="P533" s="291"/>
      <c r="Q533" s="311"/>
      <c r="R533" s="291"/>
      <c r="S533" s="291"/>
    </row>
    <row r="534" spans="1:19" ht="18.5" x14ac:dyDescent="0.45">
      <c r="A534" s="291"/>
      <c r="B534" s="291"/>
      <c r="C534" s="290"/>
      <c r="D534" s="291"/>
      <c r="E534" s="291"/>
      <c r="F534" s="291"/>
      <c r="G534" s="291"/>
      <c r="H534" s="291"/>
      <c r="I534" s="291"/>
      <c r="J534" s="291"/>
      <c r="K534" s="291"/>
      <c r="L534" s="291"/>
      <c r="M534" s="291"/>
      <c r="N534" s="291"/>
      <c r="O534" s="291"/>
      <c r="P534" s="291"/>
      <c r="Q534" s="311"/>
      <c r="R534" s="291"/>
      <c r="S534" s="291"/>
    </row>
    <row r="535" spans="1:19" ht="18.5" x14ac:dyDescent="0.45">
      <c r="A535" s="291"/>
      <c r="B535" s="291"/>
      <c r="C535" s="290"/>
      <c r="D535" s="291"/>
      <c r="E535" s="291"/>
      <c r="F535" s="291"/>
      <c r="G535" s="291"/>
      <c r="H535" s="291"/>
      <c r="I535" s="291"/>
      <c r="J535" s="291"/>
      <c r="K535" s="291"/>
      <c r="L535" s="291"/>
      <c r="M535" s="291"/>
      <c r="N535" s="291"/>
      <c r="O535" s="291"/>
      <c r="P535" s="291"/>
      <c r="Q535" s="311"/>
      <c r="R535" s="291"/>
      <c r="S535" s="291"/>
    </row>
    <row r="536" spans="1:19" ht="18.5" x14ac:dyDescent="0.45">
      <c r="A536" s="291"/>
      <c r="B536" s="291"/>
      <c r="C536" s="290"/>
      <c r="D536" s="291"/>
      <c r="E536" s="291"/>
      <c r="F536" s="291"/>
      <c r="G536" s="291"/>
      <c r="H536" s="291"/>
      <c r="I536" s="291"/>
      <c r="J536" s="291"/>
      <c r="K536" s="291"/>
      <c r="L536" s="291"/>
      <c r="M536" s="291"/>
      <c r="N536" s="291"/>
      <c r="O536" s="291"/>
      <c r="P536" s="291"/>
      <c r="Q536" s="311"/>
      <c r="R536" s="291"/>
      <c r="S536" s="291"/>
    </row>
    <row r="537" spans="1:19" ht="18.5" x14ac:dyDescent="0.45">
      <c r="A537" s="291"/>
      <c r="B537" s="291"/>
      <c r="C537" s="290"/>
      <c r="D537" s="291"/>
      <c r="E537" s="291"/>
      <c r="F537" s="291"/>
      <c r="G537" s="291"/>
      <c r="H537" s="291"/>
      <c r="I537" s="291"/>
      <c r="J537" s="291"/>
      <c r="K537" s="291"/>
      <c r="L537" s="291"/>
      <c r="M537" s="291"/>
      <c r="N537" s="291"/>
      <c r="O537" s="291"/>
      <c r="P537" s="291"/>
      <c r="Q537" s="311"/>
      <c r="R537" s="291"/>
      <c r="S537" s="291"/>
    </row>
    <row r="538" spans="1:19" ht="18.5" x14ac:dyDescent="0.45">
      <c r="A538" s="291"/>
      <c r="B538" s="291"/>
      <c r="C538" s="290"/>
      <c r="D538" s="291"/>
      <c r="E538" s="291"/>
      <c r="F538" s="291"/>
      <c r="G538" s="291"/>
      <c r="H538" s="291"/>
      <c r="I538" s="291"/>
      <c r="J538" s="291"/>
      <c r="K538" s="291"/>
      <c r="L538" s="291"/>
      <c r="M538" s="291"/>
      <c r="N538" s="291"/>
      <c r="O538" s="291"/>
      <c r="P538" s="291"/>
      <c r="Q538" s="311"/>
      <c r="R538" s="291"/>
      <c r="S538" s="291"/>
    </row>
    <row r="539" spans="1:19" ht="18.5" x14ac:dyDescent="0.45">
      <c r="A539" s="291"/>
      <c r="B539" s="291"/>
      <c r="C539" s="290"/>
      <c r="D539" s="291"/>
      <c r="E539" s="291"/>
      <c r="F539" s="291"/>
      <c r="G539" s="291"/>
      <c r="H539" s="291"/>
      <c r="I539" s="291"/>
      <c r="J539" s="291"/>
      <c r="K539" s="291"/>
      <c r="L539" s="291"/>
      <c r="M539" s="291"/>
      <c r="N539" s="291"/>
      <c r="O539" s="291"/>
      <c r="P539" s="291"/>
      <c r="Q539" s="311"/>
      <c r="R539" s="291"/>
      <c r="S539" s="291"/>
    </row>
    <row r="540" spans="1:19" ht="18.5" x14ac:dyDescent="0.45">
      <c r="A540" s="291"/>
      <c r="B540" s="291"/>
      <c r="C540" s="290"/>
      <c r="D540" s="291"/>
      <c r="E540" s="291"/>
      <c r="F540" s="291"/>
      <c r="G540" s="291"/>
      <c r="H540" s="291"/>
      <c r="I540" s="291"/>
      <c r="J540" s="291"/>
      <c r="K540" s="291"/>
      <c r="L540" s="291"/>
      <c r="M540" s="291"/>
      <c r="N540" s="291"/>
      <c r="O540" s="291"/>
      <c r="P540" s="291"/>
      <c r="Q540" s="311"/>
      <c r="R540" s="291"/>
      <c r="S540" s="291"/>
    </row>
    <row r="541" spans="1:19" ht="18.5" x14ac:dyDescent="0.45">
      <c r="A541" s="291"/>
      <c r="B541" s="291"/>
      <c r="C541" s="290"/>
      <c r="D541" s="291"/>
      <c r="E541" s="291"/>
      <c r="F541" s="291"/>
      <c r="G541" s="291"/>
      <c r="H541" s="291"/>
      <c r="I541" s="291"/>
      <c r="J541" s="291"/>
      <c r="K541" s="291"/>
      <c r="L541" s="291"/>
      <c r="M541" s="291"/>
      <c r="N541" s="291"/>
      <c r="O541" s="291"/>
      <c r="P541" s="291"/>
      <c r="Q541" s="311"/>
      <c r="R541" s="291"/>
      <c r="S541" s="291"/>
    </row>
    <row r="542" spans="1:19" ht="18.5" x14ac:dyDescent="0.45">
      <c r="A542" s="291"/>
      <c r="B542" s="291"/>
      <c r="C542" s="290"/>
      <c r="D542" s="291"/>
      <c r="E542" s="291"/>
      <c r="F542" s="291"/>
      <c r="G542" s="291"/>
      <c r="H542" s="291"/>
      <c r="I542" s="291"/>
      <c r="J542" s="291"/>
      <c r="K542" s="291"/>
      <c r="L542" s="291"/>
      <c r="M542" s="291"/>
      <c r="N542" s="291"/>
      <c r="O542" s="291"/>
      <c r="P542" s="291"/>
      <c r="Q542" s="311"/>
      <c r="R542" s="291"/>
      <c r="S542" s="291"/>
    </row>
    <row r="543" spans="1:19" ht="18.5" x14ac:dyDescent="0.45">
      <c r="A543" s="291"/>
      <c r="B543" s="291"/>
      <c r="C543" s="290"/>
      <c r="D543" s="291"/>
      <c r="E543" s="291"/>
      <c r="F543" s="291"/>
      <c r="G543" s="291"/>
      <c r="H543" s="291"/>
      <c r="I543" s="291"/>
      <c r="J543" s="291"/>
      <c r="K543" s="291"/>
      <c r="L543" s="291"/>
      <c r="M543" s="291"/>
      <c r="N543" s="291"/>
      <c r="O543" s="291"/>
      <c r="P543" s="291"/>
      <c r="Q543" s="311"/>
      <c r="R543" s="291"/>
      <c r="S543" s="291"/>
    </row>
    <row r="544" spans="1:19" ht="18.5" x14ac:dyDescent="0.45">
      <c r="A544" s="291"/>
      <c r="B544" s="291"/>
      <c r="C544" s="290"/>
      <c r="D544" s="291"/>
      <c r="E544" s="291"/>
      <c r="F544" s="291"/>
      <c r="G544" s="291"/>
      <c r="H544" s="291"/>
      <c r="I544" s="291"/>
      <c r="J544" s="291"/>
      <c r="K544" s="291"/>
      <c r="L544" s="291"/>
      <c r="M544" s="291"/>
      <c r="N544" s="291"/>
      <c r="O544" s="291"/>
      <c r="P544" s="291"/>
      <c r="Q544" s="311"/>
      <c r="R544" s="291"/>
      <c r="S544" s="291"/>
    </row>
    <row r="545" spans="1:19" ht="18.5" x14ac:dyDescent="0.45">
      <c r="A545" s="291"/>
      <c r="B545" s="291"/>
      <c r="C545" s="290"/>
      <c r="D545" s="291"/>
      <c r="E545" s="291"/>
      <c r="F545" s="291"/>
      <c r="G545" s="291"/>
      <c r="H545" s="291"/>
      <c r="I545" s="291"/>
      <c r="J545" s="291"/>
      <c r="K545" s="291"/>
      <c r="L545" s="291"/>
      <c r="M545" s="291"/>
      <c r="N545" s="291"/>
      <c r="O545" s="291"/>
      <c r="P545" s="291"/>
      <c r="Q545" s="311"/>
      <c r="R545" s="291"/>
      <c r="S545" s="291"/>
    </row>
    <row r="546" spans="1:19" ht="18.5" x14ac:dyDescent="0.45">
      <c r="A546" s="291"/>
      <c r="B546" s="291"/>
      <c r="C546" s="290"/>
      <c r="D546" s="291"/>
      <c r="E546" s="291"/>
      <c r="F546" s="291"/>
      <c r="G546" s="291"/>
      <c r="H546" s="291"/>
      <c r="I546" s="291"/>
      <c r="J546" s="291"/>
      <c r="K546" s="291"/>
      <c r="L546" s="291"/>
      <c r="M546" s="291"/>
      <c r="N546" s="291"/>
      <c r="O546" s="291"/>
      <c r="P546" s="291"/>
      <c r="Q546" s="311"/>
      <c r="R546" s="291"/>
      <c r="S546" s="291"/>
    </row>
    <row r="547" spans="1:19" ht="18.5" x14ac:dyDescent="0.45">
      <c r="A547" s="291"/>
      <c r="B547" s="291"/>
      <c r="C547" s="290"/>
      <c r="D547" s="291"/>
      <c r="E547" s="291"/>
      <c r="F547" s="291"/>
      <c r="G547" s="291"/>
      <c r="H547" s="291"/>
      <c r="I547" s="291"/>
      <c r="J547" s="291"/>
      <c r="K547" s="291"/>
      <c r="L547" s="291"/>
      <c r="M547" s="291"/>
      <c r="N547" s="291"/>
      <c r="O547" s="291"/>
      <c r="P547" s="291"/>
      <c r="Q547" s="311"/>
      <c r="R547" s="291"/>
      <c r="S547" s="291"/>
    </row>
    <row r="548" spans="1:19" ht="18.5" x14ac:dyDescent="0.45">
      <c r="A548" s="291"/>
      <c r="B548" s="291"/>
      <c r="C548" s="290"/>
      <c r="D548" s="291"/>
      <c r="E548" s="291"/>
      <c r="F548" s="291"/>
      <c r="G548" s="291"/>
      <c r="H548" s="291"/>
      <c r="I548" s="291"/>
      <c r="J548" s="291"/>
      <c r="K548" s="291"/>
      <c r="L548" s="291"/>
      <c r="M548" s="291"/>
      <c r="N548" s="291"/>
      <c r="O548" s="291"/>
      <c r="P548" s="291"/>
      <c r="Q548" s="311"/>
      <c r="R548" s="291"/>
      <c r="S548" s="291"/>
    </row>
    <row r="549" spans="1:19" ht="18.5" x14ac:dyDescent="0.45">
      <c r="A549" s="291"/>
      <c r="B549" s="291"/>
      <c r="C549" s="290"/>
      <c r="D549" s="291"/>
      <c r="E549" s="291"/>
      <c r="F549" s="291"/>
      <c r="G549" s="291"/>
      <c r="H549" s="291"/>
      <c r="I549" s="291"/>
      <c r="J549" s="291"/>
      <c r="K549" s="291"/>
      <c r="L549" s="291"/>
      <c r="M549" s="291"/>
      <c r="N549" s="291"/>
      <c r="O549" s="291"/>
      <c r="P549" s="291"/>
      <c r="Q549" s="311"/>
      <c r="R549" s="291"/>
      <c r="S549" s="291"/>
    </row>
    <row r="550" spans="1:19" ht="18.5" x14ac:dyDescent="0.45">
      <c r="A550" s="291"/>
      <c r="B550" s="291"/>
      <c r="C550" s="290"/>
      <c r="D550" s="291"/>
      <c r="E550" s="291"/>
      <c r="F550" s="291"/>
      <c r="G550" s="291"/>
      <c r="H550" s="291"/>
      <c r="I550" s="291"/>
      <c r="J550" s="291"/>
      <c r="K550" s="291"/>
      <c r="L550" s="291"/>
      <c r="M550" s="291"/>
      <c r="N550" s="291"/>
      <c r="O550" s="291"/>
      <c r="P550" s="291"/>
      <c r="Q550" s="311"/>
      <c r="R550" s="291"/>
      <c r="S550" s="291"/>
    </row>
    <row r="551" spans="1:19" ht="18.5" x14ac:dyDescent="0.45">
      <c r="A551" s="291"/>
      <c r="B551" s="291"/>
      <c r="C551" s="290"/>
      <c r="D551" s="291"/>
      <c r="E551" s="291"/>
      <c r="F551" s="291"/>
      <c r="G551" s="291"/>
      <c r="H551" s="291"/>
      <c r="I551" s="291"/>
      <c r="J551" s="291"/>
      <c r="K551" s="291"/>
      <c r="L551" s="291"/>
      <c r="M551" s="291"/>
      <c r="N551" s="291"/>
      <c r="O551" s="291"/>
      <c r="P551" s="291"/>
      <c r="Q551" s="311"/>
      <c r="R551" s="291"/>
      <c r="S551" s="291"/>
    </row>
    <row r="552" spans="1:19" ht="18.5" x14ac:dyDescent="0.45">
      <c r="A552" s="291"/>
      <c r="B552" s="291"/>
      <c r="C552" s="290"/>
      <c r="D552" s="291"/>
      <c r="E552" s="291"/>
      <c r="F552" s="291"/>
      <c r="G552" s="291"/>
      <c r="H552" s="291"/>
      <c r="I552" s="291"/>
      <c r="J552" s="291"/>
      <c r="K552" s="291"/>
      <c r="L552" s="291"/>
      <c r="M552" s="291"/>
      <c r="N552" s="291"/>
      <c r="O552" s="291"/>
      <c r="P552" s="291"/>
      <c r="Q552" s="311"/>
      <c r="R552" s="291"/>
      <c r="S552" s="291"/>
    </row>
    <row r="553" spans="1:19" ht="18.5" x14ac:dyDescent="0.45">
      <c r="A553" s="291"/>
      <c r="B553" s="291"/>
      <c r="C553" s="290"/>
      <c r="D553" s="291"/>
      <c r="E553" s="291"/>
      <c r="F553" s="291"/>
      <c r="G553" s="291"/>
      <c r="H553" s="291"/>
      <c r="I553" s="291"/>
      <c r="J553" s="291"/>
      <c r="K553" s="291"/>
      <c r="L553" s="291"/>
      <c r="M553" s="291"/>
      <c r="N553" s="291"/>
      <c r="O553" s="291"/>
      <c r="P553" s="291"/>
      <c r="Q553" s="311"/>
      <c r="R553" s="291"/>
      <c r="S553" s="291"/>
    </row>
    <row r="554" spans="1:19" ht="18.5" x14ac:dyDescent="0.45">
      <c r="A554" s="291"/>
      <c r="B554" s="291"/>
      <c r="C554" s="290"/>
      <c r="D554" s="291"/>
      <c r="E554" s="291"/>
      <c r="F554" s="291"/>
      <c r="G554" s="291"/>
      <c r="H554" s="291"/>
      <c r="I554" s="291"/>
      <c r="J554" s="291"/>
      <c r="K554" s="291"/>
      <c r="L554" s="291"/>
      <c r="M554" s="291"/>
      <c r="N554" s="291"/>
      <c r="O554" s="291"/>
      <c r="P554" s="291"/>
      <c r="Q554" s="311"/>
      <c r="R554" s="291"/>
      <c r="S554" s="291"/>
    </row>
    <row r="555" spans="1:19" ht="18.5" x14ac:dyDescent="0.45">
      <c r="A555" s="291"/>
      <c r="B555" s="291"/>
      <c r="C555" s="290"/>
      <c r="D555" s="291"/>
      <c r="E555" s="291"/>
      <c r="F555" s="291"/>
      <c r="G555" s="291"/>
      <c r="H555" s="291"/>
      <c r="I555" s="291"/>
      <c r="J555" s="291"/>
      <c r="K555" s="291"/>
      <c r="L555" s="291"/>
      <c r="M555" s="291"/>
      <c r="N555" s="291"/>
      <c r="O555" s="291"/>
      <c r="P555" s="291"/>
      <c r="Q555" s="311"/>
      <c r="R555" s="291"/>
      <c r="S555" s="291"/>
    </row>
    <row r="556" spans="1:19" ht="18.5" x14ac:dyDescent="0.45">
      <c r="A556" s="291"/>
      <c r="B556" s="291"/>
      <c r="C556" s="290"/>
      <c r="D556" s="291"/>
      <c r="E556" s="291"/>
      <c r="F556" s="291"/>
      <c r="G556" s="291"/>
      <c r="H556" s="291"/>
      <c r="I556" s="291"/>
      <c r="J556" s="291"/>
      <c r="K556" s="291"/>
      <c r="L556" s="291"/>
      <c r="M556" s="291"/>
      <c r="N556" s="291"/>
      <c r="O556" s="291"/>
      <c r="P556" s="291"/>
      <c r="Q556" s="311"/>
      <c r="R556" s="291"/>
      <c r="S556" s="291"/>
    </row>
    <row r="557" spans="1:19" ht="18.5" x14ac:dyDescent="0.45">
      <c r="A557" s="291"/>
      <c r="B557" s="291"/>
      <c r="C557" s="290"/>
      <c r="D557" s="291"/>
      <c r="E557" s="291"/>
      <c r="F557" s="291"/>
      <c r="G557" s="291"/>
      <c r="H557" s="291"/>
      <c r="I557" s="291"/>
      <c r="J557" s="291"/>
      <c r="K557" s="291"/>
      <c r="L557" s="291"/>
      <c r="M557" s="291"/>
      <c r="N557" s="291"/>
      <c r="O557" s="291"/>
      <c r="P557" s="291"/>
      <c r="Q557" s="311"/>
      <c r="R557" s="291"/>
      <c r="S557" s="291"/>
    </row>
    <row r="558" spans="1:19" ht="18.5" x14ac:dyDescent="0.45">
      <c r="A558" s="291"/>
      <c r="B558" s="291"/>
      <c r="C558" s="290"/>
      <c r="D558" s="291"/>
      <c r="E558" s="291"/>
      <c r="F558" s="291"/>
      <c r="G558" s="291"/>
      <c r="H558" s="291"/>
      <c r="I558" s="291"/>
      <c r="J558" s="291"/>
      <c r="K558" s="291"/>
      <c r="L558" s="291"/>
      <c r="M558" s="291"/>
      <c r="N558" s="291"/>
      <c r="O558" s="291"/>
      <c r="P558" s="291"/>
      <c r="Q558" s="311"/>
      <c r="R558" s="291"/>
      <c r="S558" s="291"/>
    </row>
    <row r="559" spans="1:19" ht="18.5" x14ac:dyDescent="0.45">
      <c r="A559" s="291"/>
      <c r="B559" s="291"/>
      <c r="C559" s="290"/>
      <c r="D559" s="291"/>
      <c r="E559" s="291"/>
      <c r="F559" s="291"/>
      <c r="G559" s="291"/>
      <c r="H559" s="291"/>
      <c r="I559" s="291"/>
      <c r="J559" s="291"/>
      <c r="K559" s="291"/>
      <c r="L559" s="291"/>
      <c r="M559" s="291"/>
      <c r="N559" s="291"/>
      <c r="O559" s="291"/>
      <c r="P559" s="291"/>
      <c r="Q559" s="311"/>
      <c r="R559" s="291"/>
      <c r="S559" s="291"/>
    </row>
    <row r="560" spans="1:19" ht="18.5" x14ac:dyDescent="0.45">
      <c r="A560" s="291"/>
      <c r="B560" s="291"/>
      <c r="C560" s="290"/>
      <c r="D560" s="291"/>
      <c r="E560" s="291"/>
      <c r="F560" s="291"/>
      <c r="G560" s="291"/>
      <c r="H560" s="291"/>
      <c r="I560" s="291"/>
      <c r="J560" s="291"/>
      <c r="K560" s="291"/>
      <c r="L560" s="291"/>
      <c r="M560" s="291"/>
      <c r="N560" s="291"/>
      <c r="O560" s="291"/>
      <c r="P560" s="291"/>
      <c r="Q560" s="311"/>
      <c r="R560" s="291"/>
      <c r="S560" s="291"/>
    </row>
    <row r="561" spans="1:19" ht="18.5" x14ac:dyDescent="0.45">
      <c r="A561" s="291"/>
      <c r="B561" s="291"/>
      <c r="C561" s="290"/>
      <c r="D561" s="291"/>
      <c r="E561" s="291"/>
      <c r="F561" s="291"/>
      <c r="G561" s="291"/>
      <c r="H561" s="291"/>
      <c r="I561" s="291"/>
      <c r="J561" s="291"/>
      <c r="K561" s="291"/>
      <c r="L561" s="291"/>
      <c r="M561" s="291"/>
      <c r="N561" s="291"/>
      <c r="O561" s="291"/>
      <c r="P561" s="291"/>
      <c r="Q561" s="311"/>
      <c r="R561" s="291"/>
      <c r="S561" s="291"/>
    </row>
    <row r="562" spans="1:19" ht="18.5" x14ac:dyDescent="0.45">
      <c r="A562" s="291"/>
      <c r="B562" s="291"/>
      <c r="C562" s="290"/>
      <c r="D562" s="291"/>
      <c r="E562" s="291"/>
      <c r="F562" s="291"/>
      <c r="G562" s="291"/>
      <c r="H562" s="291"/>
      <c r="I562" s="291"/>
      <c r="J562" s="291"/>
      <c r="K562" s="291"/>
      <c r="L562" s="291"/>
      <c r="M562" s="291"/>
      <c r="N562" s="291"/>
      <c r="O562" s="291"/>
      <c r="P562" s="291"/>
      <c r="Q562" s="311"/>
      <c r="R562" s="291"/>
      <c r="S562" s="291"/>
    </row>
    <row r="563" spans="1:19" ht="18.5" x14ac:dyDescent="0.45">
      <c r="A563" s="291"/>
      <c r="B563" s="291"/>
      <c r="C563" s="290"/>
      <c r="D563" s="291"/>
      <c r="E563" s="291"/>
      <c r="F563" s="291"/>
      <c r="G563" s="291"/>
      <c r="H563" s="291"/>
      <c r="I563" s="291"/>
      <c r="J563" s="291"/>
      <c r="K563" s="291"/>
      <c r="L563" s="291"/>
      <c r="M563" s="291"/>
      <c r="N563" s="291"/>
      <c r="O563" s="291"/>
      <c r="P563" s="291"/>
      <c r="Q563" s="311"/>
      <c r="R563" s="291"/>
      <c r="S563" s="291"/>
    </row>
    <row r="564" spans="1:19" ht="18.5" x14ac:dyDescent="0.45">
      <c r="A564" s="291"/>
      <c r="B564" s="291"/>
      <c r="C564" s="290"/>
      <c r="D564" s="291"/>
      <c r="E564" s="291"/>
      <c r="F564" s="291"/>
      <c r="G564" s="291"/>
      <c r="H564" s="291"/>
      <c r="I564" s="291"/>
      <c r="J564" s="291"/>
      <c r="K564" s="291"/>
      <c r="L564" s="291"/>
      <c r="M564" s="291"/>
      <c r="N564" s="291"/>
      <c r="O564" s="291"/>
      <c r="P564" s="291"/>
      <c r="Q564" s="311"/>
      <c r="R564" s="291"/>
      <c r="S564" s="291"/>
    </row>
    <row r="565" spans="1:19" ht="18.5" x14ac:dyDescent="0.45">
      <c r="A565" s="291"/>
      <c r="B565" s="291"/>
      <c r="C565" s="290"/>
      <c r="D565" s="291"/>
      <c r="E565" s="291"/>
      <c r="F565" s="291"/>
      <c r="G565" s="291"/>
      <c r="H565" s="291"/>
      <c r="I565" s="291"/>
      <c r="J565" s="291"/>
      <c r="K565" s="291"/>
      <c r="L565" s="291"/>
      <c r="M565" s="291"/>
      <c r="N565" s="291"/>
      <c r="O565" s="291"/>
      <c r="P565" s="291"/>
      <c r="Q565" s="311"/>
      <c r="R565" s="291"/>
      <c r="S565" s="291"/>
    </row>
    <row r="566" spans="1:19" ht="18.5" x14ac:dyDescent="0.45">
      <c r="A566" s="291"/>
      <c r="B566" s="291"/>
      <c r="C566" s="290"/>
      <c r="D566" s="291"/>
      <c r="E566" s="291"/>
      <c r="F566" s="291"/>
      <c r="G566" s="291"/>
      <c r="H566" s="291"/>
      <c r="I566" s="291"/>
      <c r="J566" s="291"/>
      <c r="K566" s="291"/>
      <c r="L566" s="291"/>
      <c r="M566" s="291"/>
      <c r="N566" s="291"/>
      <c r="O566" s="291"/>
      <c r="P566" s="291"/>
      <c r="Q566" s="311"/>
      <c r="R566" s="291"/>
      <c r="S566" s="291"/>
    </row>
    <row r="567" spans="1:19" ht="18.5" x14ac:dyDescent="0.45">
      <c r="A567" s="291"/>
      <c r="B567" s="291"/>
      <c r="C567" s="290"/>
      <c r="D567" s="291"/>
      <c r="E567" s="291"/>
      <c r="F567" s="291"/>
      <c r="G567" s="291"/>
      <c r="H567" s="291"/>
      <c r="I567" s="291"/>
      <c r="J567" s="291"/>
      <c r="K567" s="291"/>
      <c r="L567" s="291"/>
      <c r="M567" s="291"/>
      <c r="N567" s="291"/>
      <c r="O567" s="291"/>
      <c r="P567" s="291"/>
      <c r="Q567" s="311"/>
      <c r="R567" s="291"/>
      <c r="S567" s="291"/>
    </row>
    <row r="568" spans="1:19" ht="18.5" x14ac:dyDescent="0.45">
      <c r="A568" s="291"/>
      <c r="B568" s="291"/>
      <c r="C568" s="290"/>
      <c r="D568" s="291"/>
      <c r="E568" s="291"/>
      <c r="F568" s="291"/>
      <c r="G568" s="291"/>
      <c r="H568" s="291"/>
      <c r="I568" s="291"/>
      <c r="J568" s="291"/>
      <c r="K568" s="291"/>
      <c r="L568" s="291"/>
      <c r="M568" s="291"/>
      <c r="N568" s="291"/>
      <c r="O568" s="291"/>
      <c r="P568" s="291"/>
      <c r="Q568" s="311"/>
      <c r="R568" s="291"/>
      <c r="S568" s="291"/>
    </row>
    <row r="569" spans="1:19" ht="18.5" x14ac:dyDescent="0.45">
      <c r="A569" s="291"/>
      <c r="B569" s="291"/>
      <c r="C569" s="290"/>
      <c r="D569" s="291"/>
      <c r="E569" s="291"/>
      <c r="F569" s="291"/>
      <c r="G569" s="291"/>
      <c r="H569" s="291"/>
      <c r="I569" s="291"/>
      <c r="J569" s="291"/>
      <c r="K569" s="291"/>
      <c r="L569" s="291"/>
      <c r="M569" s="291"/>
      <c r="N569" s="291"/>
      <c r="O569" s="291"/>
      <c r="P569" s="291"/>
      <c r="Q569" s="311"/>
      <c r="R569" s="291"/>
      <c r="S569" s="291"/>
    </row>
  </sheetData>
  <mergeCells count="27">
    <mergeCell ref="A153:G153"/>
    <mergeCell ref="A154:G154"/>
    <mergeCell ref="A149:F149"/>
    <mergeCell ref="A150:F150"/>
    <mergeCell ref="A147:F147"/>
    <mergeCell ref="A148:F148"/>
    <mergeCell ref="A142:F142"/>
    <mergeCell ref="R146:S146"/>
    <mergeCell ref="A1:S1"/>
    <mergeCell ref="A2:S2"/>
    <mergeCell ref="R3:S3"/>
    <mergeCell ref="A55:F55"/>
    <mergeCell ref="A145:S145"/>
    <mergeCell ref="A146:F146"/>
    <mergeCell ref="R10:R11"/>
    <mergeCell ref="R20:R21"/>
    <mergeCell ref="R30:R31"/>
    <mergeCell ref="S40:S41"/>
    <mergeCell ref="R50:R51"/>
    <mergeCell ref="R66:R67"/>
    <mergeCell ref="R83:R84"/>
    <mergeCell ref="R100:R101"/>
    <mergeCell ref="R117:R118"/>
    <mergeCell ref="R134:R135"/>
    <mergeCell ref="S5:S6"/>
    <mergeCell ref="S15:S16"/>
    <mergeCell ref="S25:S26"/>
  </mergeCells>
  <pageMargins left="0.7" right="0.7" top="0.75" bottom="0.75" header="0.3" footer="0.3"/>
  <pageSetup paperSize="9" scale="4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3"/>
  <sheetViews>
    <sheetView workbookViewId="0">
      <selection activeCell="H20" sqref="H20"/>
    </sheetView>
  </sheetViews>
  <sheetFormatPr defaultRowHeight="14.5" x14ac:dyDescent="0.35"/>
  <cols>
    <col min="5" max="5" width="17.54296875" customWidth="1"/>
    <col min="6" max="6" width="13.26953125" customWidth="1"/>
    <col min="7" max="7" width="13.1796875" customWidth="1"/>
    <col min="8" max="8" width="48.1796875" customWidth="1"/>
    <col min="11" max="11" width="13" customWidth="1"/>
  </cols>
  <sheetData>
    <row r="2" spans="1:8" ht="15" customHeight="1" x14ac:dyDescent="0.35">
      <c r="A2" s="250"/>
      <c r="B2" s="418" t="s">
        <v>158</v>
      </c>
      <c r="C2" s="418"/>
      <c r="D2" s="418"/>
      <c r="E2" s="418"/>
      <c r="F2" s="418"/>
    </row>
    <row r="3" spans="1:8" ht="15" customHeight="1" x14ac:dyDescent="0.35">
      <c r="A3" s="250"/>
      <c r="B3" s="419"/>
      <c r="C3" s="419"/>
      <c r="D3" s="419"/>
      <c r="E3" s="419"/>
      <c r="F3" s="6" t="s">
        <v>12</v>
      </c>
    </row>
    <row r="4" spans="1:8" x14ac:dyDescent="0.35">
      <c r="A4" s="250"/>
      <c r="B4" s="420" t="s">
        <v>14</v>
      </c>
      <c r="C4" s="420"/>
      <c r="D4" s="420"/>
      <c r="E4" s="420"/>
      <c r="F4" s="7">
        <f>'DETAILED UNIT AREA TABULATION'!J4</f>
        <v>6959.83</v>
      </c>
      <c r="G4" s="211"/>
    </row>
    <row r="5" spans="1:8" x14ac:dyDescent="0.35">
      <c r="A5" s="250"/>
      <c r="B5" s="420" t="s">
        <v>15</v>
      </c>
      <c r="C5" s="420"/>
      <c r="D5" s="420"/>
      <c r="E5" s="420"/>
      <c r="F5" s="7" t="e">
        <f>'DETAILED UNIT AREA TABULATION'!#REF!</f>
        <v>#REF!</v>
      </c>
      <c r="G5" s="211"/>
    </row>
    <row r="6" spans="1:8" x14ac:dyDescent="0.35">
      <c r="A6" s="250"/>
      <c r="B6" s="420" t="s">
        <v>141</v>
      </c>
      <c r="C6" s="420"/>
      <c r="D6" s="420"/>
      <c r="E6" s="420"/>
      <c r="F6" s="219" t="e">
        <f>'DETAILED UNIT AREA TABULATION'!#REF!</f>
        <v>#REF!</v>
      </c>
      <c r="G6" s="211"/>
    </row>
    <row r="7" spans="1:8" ht="15" customHeight="1" x14ac:dyDescent="0.35">
      <c r="A7" s="250"/>
      <c r="B7" s="422" t="s">
        <v>99</v>
      </c>
      <c r="C7" s="422"/>
      <c r="D7" s="422"/>
      <c r="E7" s="422"/>
      <c r="F7" s="213">
        <f>'DETAILED UNIT AREA TABULATION'!J7</f>
        <v>0</v>
      </c>
      <c r="G7" s="211"/>
      <c r="H7" s="211"/>
    </row>
    <row r="8" spans="1:8" ht="15" customHeight="1" x14ac:dyDescent="0.35">
      <c r="A8" s="250"/>
      <c r="B8" s="421" t="s">
        <v>17</v>
      </c>
      <c r="C8" s="421"/>
      <c r="D8" s="421"/>
      <c r="E8" s="421"/>
      <c r="F8" s="223">
        <f>'DETAILED UNIT AREA TABULATION'!J8</f>
        <v>0</v>
      </c>
      <c r="G8" s="212"/>
    </row>
    <row r="9" spans="1:8" ht="30" customHeight="1" x14ac:dyDescent="0.35">
      <c r="A9" s="252"/>
      <c r="B9" s="423" t="s">
        <v>18</v>
      </c>
      <c r="C9" s="423"/>
      <c r="D9" s="423"/>
      <c r="E9" s="423"/>
      <c r="F9" s="223">
        <f>'DETAILED UNIT AREA TABULATION'!J9</f>
        <v>2167.52</v>
      </c>
      <c r="G9" s="212"/>
    </row>
    <row r="10" spans="1:8" x14ac:dyDescent="0.35">
      <c r="A10" s="250"/>
      <c r="B10" s="420" t="s">
        <v>19</v>
      </c>
      <c r="C10" s="420"/>
      <c r="D10" s="420"/>
      <c r="E10" s="420"/>
      <c r="F10" s="223">
        <f>'DETAILED UNIT AREA TABULATION'!J10</f>
        <v>1745.5</v>
      </c>
      <c r="G10" s="212"/>
    </row>
    <row r="11" spans="1:8" x14ac:dyDescent="0.35">
      <c r="A11" s="250"/>
      <c r="B11" s="421" t="s">
        <v>20</v>
      </c>
      <c r="C11" s="421"/>
      <c r="D11" s="421"/>
      <c r="E11" s="421"/>
      <c r="F11" s="7">
        <f>'DETAILED UNIT AREA TABULATION'!J11</f>
        <v>0</v>
      </c>
    </row>
    <row r="12" spans="1:8" x14ac:dyDescent="0.35">
      <c r="A12" s="250"/>
      <c r="B12" s="421" t="s">
        <v>100</v>
      </c>
      <c r="C12" s="421"/>
      <c r="D12" s="421"/>
      <c r="E12" s="421"/>
      <c r="F12" s="7">
        <f>'DETAILED UNIT AREA TABULATION'!J12</f>
        <v>0</v>
      </c>
    </row>
    <row r="13" spans="1:8" x14ac:dyDescent="0.35">
      <c r="A13" s="250"/>
      <c r="B13" s="425"/>
      <c r="C13" s="425"/>
      <c r="D13" s="425"/>
      <c r="E13" s="6"/>
      <c r="F13" s="6"/>
    </row>
    <row r="14" spans="1:8" x14ac:dyDescent="0.35">
      <c r="A14" s="250"/>
      <c r="B14" s="426" t="s">
        <v>139</v>
      </c>
      <c r="C14" s="426"/>
      <c r="D14" s="426"/>
      <c r="E14" s="426"/>
      <c r="F14" s="426"/>
    </row>
    <row r="15" spans="1:8" ht="15" thickBot="1" x14ac:dyDescent="0.4">
      <c r="A15" s="250"/>
      <c r="B15" s="427" t="s">
        <v>152</v>
      </c>
      <c r="C15" s="427"/>
      <c r="D15" s="427"/>
      <c r="E15" s="427"/>
      <c r="F15" s="6"/>
    </row>
    <row r="16" spans="1:8" x14ac:dyDescent="0.35">
      <c r="A16" s="250"/>
      <c r="B16" s="427" t="s">
        <v>153</v>
      </c>
      <c r="C16" s="427"/>
      <c r="D16" s="427"/>
      <c r="E16" s="427"/>
      <c r="F16" s="247"/>
      <c r="H16" s="248" t="s">
        <v>157</v>
      </c>
    </row>
    <row r="17" spans="1:8" ht="15" thickBot="1" x14ac:dyDescent="0.4">
      <c r="A17" s="250"/>
      <c r="B17" s="427" t="s">
        <v>154</v>
      </c>
      <c r="C17" s="427"/>
      <c r="D17" s="427"/>
      <c r="E17" s="427"/>
      <c r="F17" s="247"/>
      <c r="H17" s="249">
        <v>135</v>
      </c>
    </row>
    <row r="18" spans="1:8" x14ac:dyDescent="0.35">
      <c r="A18" s="250"/>
      <c r="B18" s="424" t="s">
        <v>138</v>
      </c>
      <c r="C18" s="424"/>
      <c r="D18" s="424"/>
      <c r="E18" s="424"/>
      <c r="F18" s="214"/>
    </row>
    <row r="19" spans="1:8" x14ac:dyDescent="0.35">
      <c r="A19" s="250"/>
      <c r="B19" s="250"/>
      <c r="C19" s="250"/>
      <c r="D19" s="250"/>
      <c r="E19" s="250"/>
      <c r="F19" s="250"/>
    </row>
    <row r="20" spans="1:8" x14ac:dyDescent="0.35">
      <c r="A20" s="250"/>
      <c r="B20" s="250"/>
      <c r="C20" s="250"/>
      <c r="D20" s="250"/>
      <c r="E20" s="250"/>
      <c r="F20" s="250"/>
    </row>
    <row r="21" spans="1:8" x14ac:dyDescent="0.35">
      <c r="A21" s="250"/>
      <c r="B21" s="428" t="s">
        <v>140</v>
      </c>
      <c r="C21" s="428"/>
      <c r="D21" s="428"/>
      <c r="E21" s="428"/>
      <c r="F21" s="251"/>
    </row>
    <row r="22" spans="1:8" x14ac:dyDescent="0.35">
      <c r="A22" s="250"/>
      <c r="B22" s="421" t="s">
        <v>155</v>
      </c>
      <c r="C22" s="421"/>
      <c r="D22" s="421"/>
      <c r="E22" s="421"/>
      <c r="F22" s="250"/>
    </row>
    <row r="23" spans="1:8" x14ac:dyDescent="0.35">
      <c r="A23" s="250"/>
      <c r="B23" s="421" t="s">
        <v>156</v>
      </c>
      <c r="C23" s="421"/>
      <c r="D23" s="421"/>
      <c r="E23" s="421"/>
      <c r="F23" s="250"/>
    </row>
  </sheetData>
  <mergeCells count="20">
    <mergeCell ref="B22:E22"/>
    <mergeCell ref="B23:E23"/>
    <mergeCell ref="B18:E18"/>
    <mergeCell ref="B13:D13"/>
    <mergeCell ref="B14:F14"/>
    <mergeCell ref="B15:E15"/>
    <mergeCell ref="B16:E16"/>
    <mergeCell ref="B17:E17"/>
    <mergeCell ref="B21:E21"/>
    <mergeCell ref="B11:E11"/>
    <mergeCell ref="B12:E12"/>
    <mergeCell ref="B7:E7"/>
    <mergeCell ref="B8:E8"/>
    <mergeCell ref="B9:E9"/>
    <mergeCell ref="B10:E10"/>
    <mergeCell ref="B2:F2"/>
    <mergeCell ref="B3:E3"/>
    <mergeCell ref="B4:E4"/>
    <mergeCell ref="B5:E5"/>
    <mergeCell ref="B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N263"/>
  <sheetViews>
    <sheetView topLeftCell="A41" zoomScaleNormal="100" workbookViewId="0">
      <selection activeCell="Q55" sqref="Q55"/>
    </sheetView>
  </sheetViews>
  <sheetFormatPr defaultRowHeight="14.5" x14ac:dyDescent="0.35"/>
  <cols>
    <col min="1" max="1" width="3.81640625" style="5" customWidth="1"/>
    <col min="2" max="2" width="6.453125" customWidth="1"/>
    <col min="3" max="3" width="7.26953125" customWidth="1"/>
    <col min="6" max="6" width="10" customWidth="1"/>
    <col min="7" max="7" width="9" customWidth="1"/>
    <col min="8" max="8" width="12.54296875" customWidth="1"/>
    <col min="9" max="9" width="8.7265625" customWidth="1"/>
    <col min="10" max="10" width="15" customWidth="1"/>
    <col min="11" max="11" width="7.453125" customWidth="1"/>
    <col min="12" max="12" width="5.7265625" customWidth="1"/>
  </cols>
  <sheetData>
    <row r="2" spans="1:14" ht="15.75" customHeight="1" thickBot="1" x14ac:dyDescent="0.4">
      <c r="A2" s="174"/>
    </row>
    <row r="3" spans="1:14" ht="23" thickBot="1" x14ac:dyDescent="0.4">
      <c r="A3" s="429" t="s">
        <v>121</v>
      </c>
      <c r="B3" s="430"/>
      <c r="C3" s="430"/>
      <c r="D3" s="430"/>
      <c r="E3" s="430"/>
      <c r="F3" s="430"/>
      <c r="G3" s="430"/>
      <c r="H3" s="430"/>
      <c r="I3" s="430"/>
      <c r="J3" s="430"/>
      <c r="K3" s="431"/>
      <c r="L3" s="432" t="s">
        <v>122</v>
      </c>
      <c r="M3" s="433"/>
      <c r="N3" s="434"/>
    </row>
    <row r="4" spans="1:14" ht="79.5" customHeight="1" thickBot="1" x14ac:dyDescent="0.4">
      <c r="A4" s="175" t="s">
        <v>123</v>
      </c>
      <c r="B4" s="176" t="s">
        <v>124</v>
      </c>
      <c r="C4" s="177" t="s">
        <v>125</v>
      </c>
      <c r="D4" s="176" t="s">
        <v>126</v>
      </c>
      <c r="E4" s="176" t="s">
        <v>127</v>
      </c>
      <c r="F4" s="178" t="s">
        <v>128</v>
      </c>
      <c r="G4" s="178" t="s">
        <v>129</v>
      </c>
      <c r="H4" s="178" t="s">
        <v>130</v>
      </c>
      <c r="I4" s="178" t="s">
        <v>131</v>
      </c>
      <c r="J4" s="178" t="s">
        <v>132</v>
      </c>
      <c r="K4" s="178" t="s">
        <v>133</v>
      </c>
      <c r="L4" s="435" t="s">
        <v>52</v>
      </c>
      <c r="M4" s="436"/>
      <c r="N4" s="437"/>
    </row>
    <row r="5" spans="1:14" ht="16" thickBot="1" x14ac:dyDescent="0.4">
      <c r="A5" s="179"/>
      <c r="B5" s="180"/>
      <c r="C5" s="180"/>
      <c r="D5" s="180"/>
      <c r="E5" s="180"/>
      <c r="F5" s="181" t="s">
        <v>134</v>
      </c>
      <c r="G5" s="181" t="s">
        <v>134</v>
      </c>
      <c r="H5" s="181" t="s">
        <v>134</v>
      </c>
      <c r="I5" s="182" t="s">
        <v>134</v>
      </c>
      <c r="J5" s="181" t="s">
        <v>135</v>
      </c>
      <c r="K5" s="181" t="s">
        <v>135</v>
      </c>
      <c r="L5" s="182" t="s">
        <v>136</v>
      </c>
      <c r="M5" s="181" t="s">
        <v>137</v>
      </c>
      <c r="N5" s="183"/>
    </row>
    <row r="6" spans="1:14" ht="15" thickBot="1" x14ac:dyDescent="0.4">
      <c r="A6" s="184">
        <v>1</v>
      </c>
      <c r="B6" s="11" t="s">
        <v>32</v>
      </c>
      <c r="C6" s="12">
        <v>11</v>
      </c>
      <c r="D6" s="154" t="s">
        <v>35</v>
      </c>
      <c r="E6" s="185">
        <v>1</v>
      </c>
      <c r="F6" s="186">
        <f>'DETAILED UNIT AREA TABULATION'!J18</f>
        <v>58.38</v>
      </c>
      <c r="G6" s="186">
        <f>'DETAILED UNIT AREA TABULATION'!L18</f>
        <v>2.4300000000000002</v>
      </c>
      <c r="H6" s="187"/>
      <c r="I6" s="190">
        <f>'DETAILED UNIT AREA TABULATION'!R18</f>
        <v>0</v>
      </c>
      <c r="J6" s="204">
        <f>I6+G6+F6</f>
        <v>60.81</v>
      </c>
      <c r="K6" s="188">
        <f>'DETAILED UNIT AREA TABULATION'!V18</f>
        <v>0</v>
      </c>
      <c r="L6" s="189">
        <v>1</v>
      </c>
    </row>
    <row r="7" spans="1:14" ht="15" thickBot="1" x14ac:dyDescent="0.4">
      <c r="A7" s="184">
        <f t="shared" ref="A7:A12" si="0">A6+1</f>
        <v>2</v>
      </c>
      <c r="B7" s="11" t="s">
        <v>32</v>
      </c>
      <c r="C7" s="12">
        <v>12</v>
      </c>
      <c r="D7" s="155" t="s">
        <v>35</v>
      </c>
      <c r="E7" s="185">
        <v>1</v>
      </c>
      <c r="F7" s="186">
        <f>'DETAILED UNIT AREA TABULATION'!J19</f>
        <v>61.89</v>
      </c>
      <c r="G7" s="186">
        <f>'DETAILED UNIT AREA TABULATION'!L19</f>
        <v>2.4300000000000002</v>
      </c>
      <c r="H7" s="187"/>
      <c r="I7" s="190">
        <f>'DETAILED UNIT AREA TABULATION'!R19</f>
        <v>0</v>
      </c>
      <c r="J7" s="205">
        <f t="shared" ref="J7:J70" si="1">I7+G7+F7</f>
        <v>64.320000000000007</v>
      </c>
      <c r="K7" s="188">
        <f>'DETAILED UNIT AREA TABULATION'!V19</f>
        <v>0</v>
      </c>
      <c r="L7" s="191">
        <v>1</v>
      </c>
    </row>
    <row r="8" spans="1:14" ht="15" thickBot="1" x14ac:dyDescent="0.4">
      <c r="A8" s="184">
        <f t="shared" si="0"/>
        <v>3</v>
      </c>
      <c r="B8" s="11" t="s">
        <v>32</v>
      </c>
      <c r="C8" s="12">
        <v>13</v>
      </c>
      <c r="D8" s="155" t="s">
        <v>35</v>
      </c>
      <c r="E8" s="185">
        <v>1</v>
      </c>
      <c r="F8" s="186">
        <f>'DETAILED UNIT AREA TABULATION'!J20</f>
        <v>79.680000000000007</v>
      </c>
      <c r="G8" s="186">
        <f>'DETAILED UNIT AREA TABULATION'!L20</f>
        <v>4.12</v>
      </c>
      <c r="H8" s="187"/>
      <c r="I8" s="190">
        <f>'DETAILED UNIT AREA TABULATION'!R20</f>
        <v>0</v>
      </c>
      <c r="J8" s="205">
        <f t="shared" si="1"/>
        <v>83.800000000000011</v>
      </c>
      <c r="K8" s="188">
        <f>'DETAILED UNIT AREA TABULATION'!V20</f>
        <v>0</v>
      </c>
      <c r="L8" s="191">
        <v>1</v>
      </c>
    </row>
    <row r="9" spans="1:14" ht="15" thickBot="1" x14ac:dyDescent="0.4">
      <c r="A9" s="184">
        <f t="shared" si="0"/>
        <v>4</v>
      </c>
      <c r="B9" s="11" t="s">
        <v>32</v>
      </c>
      <c r="C9" s="12">
        <v>14</v>
      </c>
      <c r="D9" s="155" t="s">
        <v>35</v>
      </c>
      <c r="E9" s="185">
        <v>1</v>
      </c>
      <c r="F9" s="186">
        <f>'DETAILED UNIT AREA TABULATION'!J21</f>
        <v>94.77</v>
      </c>
      <c r="G9" s="186">
        <f>'DETAILED UNIT AREA TABULATION'!L21</f>
        <v>9.93</v>
      </c>
      <c r="H9" s="187"/>
      <c r="I9" s="190">
        <f>'DETAILED UNIT AREA TABULATION'!R21</f>
        <v>0</v>
      </c>
      <c r="J9" s="205">
        <f t="shared" si="1"/>
        <v>104.69999999999999</v>
      </c>
      <c r="K9" s="188">
        <f>'DETAILED UNIT AREA TABULATION'!V21</f>
        <v>0</v>
      </c>
      <c r="L9" s="191">
        <v>1</v>
      </c>
    </row>
    <row r="10" spans="1:14" ht="15" thickBot="1" x14ac:dyDescent="0.4">
      <c r="A10" s="184">
        <f t="shared" si="0"/>
        <v>5</v>
      </c>
      <c r="B10" s="11" t="s">
        <v>32</v>
      </c>
      <c r="C10" s="12">
        <v>15</v>
      </c>
      <c r="D10" s="155" t="s">
        <v>104</v>
      </c>
      <c r="E10" s="185">
        <v>1</v>
      </c>
      <c r="F10" s="186">
        <f>'DETAILED UNIT AREA TABULATION'!J22</f>
        <v>61.43</v>
      </c>
      <c r="G10" s="186">
        <f>'DETAILED UNIT AREA TABULATION'!L22</f>
        <v>3.81</v>
      </c>
      <c r="H10" s="187"/>
      <c r="I10" s="190">
        <f>'DETAILED UNIT AREA TABULATION'!R22</f>
        <v>0</v>
      </c>
      <c r="J10" s="205">
        <f t="shared" si="1"/>
        <v>65.239999999999995</v>
      </c>
      <c r="K10" s="188">
        <f>'DETAILED UNIT AREA TABULATION'!V22</f>
        <v>0</v>
      </c>
      <c r="L10" s="191">
        <v>1</v>
      </c>
    </row>
    <row r="11" spans="1:14" ht="15" thickBot="1" x14ac:dyDescent="0.4">
      <c r="A11" s="184">
        <f t="shared" si="0"/>
        <v>6</v>
      </c>
      <c r="B11" s="11" t="s">
        <v>32</v>
      </c>
      <c r="C11" s="12">
        <v>16</v>
      </c>
      <c r="D11" s="155" t="s">
        <v>104</v>
      </c>
      <c r="E11" s="185">
        <v>1</v>
      </c>
      <c r="F11" s="186">
        <f>'DETAILED UNIT AREA TABULATION'!J23</f>
        <v>58.38</v>
      </c>
      <c r="G11" s="186">
        <f>'DETAILED UNIT AREA TABULATION'!L23</f>
        <v>2.4300000000000002</v>
      </c>
      <c r="H11" s="187"/>
      <c r="I11" s="190">
        <f>'DETAILED UNIT AREA TABULATION'!R23</f>
        <v>0</v>
      </c>
      <c r="J11" s="205">
        <f t="shared" si="1"/>
        <v>60.81</v>
      </c>
      <c r="K11" s="188">
        <f>'DETAILED UNIT AREA TABULATION'!V23</f>
        <v>0</v>
      </c>
      <c r="L11" s="191">
        <v>1</v>
      </c>
    </row>
    <row r="12" spans="1:14" ht="15" thickBot="1" x14ac:dyDescent="0.4">
      <c r="A12" s="184">
        <f t="shared" si="0"/>
        <v>7</v>
      </c>
      <c r="B12" s="11" t="s">
        <v>32</v>
      </c>
      <c r="C12" s="12">
        <v>17</v>
      </c>
      <c r="D12" s="172" t="s">
        <v>33</v>
      </c>
      <c r="E12" s="185">
        <v>1</v>
      </c>
      <c r="F12" s="186">
        <f>'DETAILED UNIT AREA TABULATION'!J24</f>
        <v>58.38</v>
      </c>
      <c r="G12" s="186">
        <f>'DETAILED UNIT AREA TABULATION'!L24</f>
        <v>2.4300000000000002</v>
      </c>
      <c r="H12" s="187"/>
      <c r="I12" s="190">
        <f>'DETAILED UNIT AREA TABULATION'!R24</f>
        <v>0</v>
      </c>
      <c r="J12" s="205">
        <f t="shared" si="1"/>
        <v>60.81</v>
      </c>
      <c r="K12" s="188">
        <f>'DETAILED UNIT AREA TABULATION'!V24</f>
        <v>0</v>
      </c>
      <c r="L12" s="191">
        <v>1</v>
      </c>
    </row>
    <row r="13" spans="1:14" ht="15" thickBot="1" x14ac:dyDescent="0.4">
      <c r="A13" s="184">
        <f>A12+1</f>
        <v>8</v>
      </c>
      <c r="B13" s="11" t="s">
        <v>32</v>
      </c>
      <c r="C13" s="12">
        <v>18</v>
      </c>
      <c r="D13" s="156" t="s">
        <v>33</v>
      </c>
      <c r="E13" s="173">
        <v>1</v>
      </c>
      <c r="F13" s="186">
        <f>'DETAILED UNIT AREA TABULATION'!J25</f>
        <v>76.760000000000005</v>
      </c>
      <c r="G13" s="186">
        <f>'DETAILED UNIT AREA TABULATION'!L25</f>
        <v>4</v>
      </c>
      <c r="H13" s="192"/>
      <c r="I13" s="193">
        <f>'DETAILED UNIT AREA TABULATION'!R25</f>
        <v>0</v>
      </c>
      <c r="J13" s="206">
        <f t="shared" si="1"/>
        <v>80.760000000000005</v>
      </c>
      <c r="K13" s="188">
        <f>'DETAILED UNIT AREA TABULATION'!V25</f>
        <v>0</v>
      </c>
      <c r="L13" s="191">
        <v>1</v>
      </c>
    </row>
    <row r="14" spans="1:14" ht="15" thickBot="1" x14ac:dyDescent="0.4">
      <c r="A14" s="184">
        <f t="shared" ref="A14:A77" si="2">A13+1</f>
        <v>9</v>
      </c>
      <c r="B14" s="11" t="s">
        <v>32</v>
      </c>
      <c r="C14" s="12">
        <v>21</v>
      </c>
      <c r="D14" s="154" t="s">
        <v>35</v>
      </c>
      <c r="E14" s="185">
        <v>2</v>
      </c>
      <c r="F14" s="186">
        <f>'DETAILED UNIT AREA TABULATION'!J28</f>
        <v>61.09</v>
      </c>
      <c r="G14" s="186">
        <f>'DETAILED UNIT AREA TABULATION'!L28</f>
        <v>2.4300000000000002</v>
      </c>
      <c r="H14" s="187"/>
      <c r="I14" s="190">
        <f>'DETAILED UNIT AREA TABULATION'!R28</f>
        <v>0</v>
      </c>
      <c r="J14" s="205">
        <f t="shared" si="1"/>
        <v>63.52</v>
      </c>
      <c r="K14" s="188">
        <f>'DETAILED UNIT AREA TABULATION'!V28</f>
        <v>0</v>
      </c>
      <c r="L14" s="191">
        <v>1</v>
      </c>
    </row>
    <row r="15" spans="1:14" ht="15" thickBot="1" x14ac:dyDescent="0.4">
      <c r="A15" s="184">
        <f t="shared" si="2"/>
        <v>10</v>
      </c>
      <c r="B15" s="11" t="s">
        <v>32</v>
      </c>
      <c r="C15" s="12">
        <v>22</v>
      </c>
      <c r="D15" s="155" t="s">
        <v>35</v>
      </c>
      <c r="E15" s="185">
        <v>2</v>
      </c>
      <c r="F15" s="186">
        <f>'DETAILED UNIT AREA TABULATION'!J29</f>
        <v>61.09</v>
      </c>
      <c r="G15" s="186">
        <f>'DETAILED UNIT AREA TABULATION'!L29</f>
        <v>2.4300000000000002</v>
      </c>
      <c r="H15" s="187"/>
      <c r="I15" s="190">
        <f>'DETAILED UNIT AREA TABULATION'!R29</f>
        <v>0</v>
      </c>
      <c r="J15" s="205">
        <f t="shared" si="1"/>
        <v>63.52</v>
      </c>
      <c r="K15" s="188">
        <f>'DETAILED UNIT AREA TABULATION'!V29</f>
        <v>0</v>
      </c>
      <c r="L15" s="191">
        <v>1</v>
      </c>
    </row>
    <row r="16" spans="1:14" ht="15" thickBot="1" x14ac:dyDescent="0.4">
      <c r="A16" s="184">
        <f t="shared" si="2"/>
        <v>11</v>
      </c>
      <c r="B16" s="11" t="s">
        <v>32</v>
      </c>
      <c r="C16" s="12">
        <v>23</v>
      </c>
      <c r="D16" s="155" t="s">
        <v>35</v>
      </c>
      <c r="E16" s="185">
        <v>2</v>
      </c>
      <c r="F16" s="186">
        <f>'DETAILED UNIT AREA TABULATION'!J30</f>
        <v>79.760000000000005</v>
      </c>
      <c r="G16" s="186">
        <f>'DETAILED UNIT AREA TABULATION'!L30</f>
        <v>3.99</v>
      </c>
      <c r="H16" s="187"/>
      <c r="I16" s="190">
        <f>'DETAILED UNIT AREA TABULATION'!R30</f>
        <v>0</v>
      </c>
      <c r="J16" s="205">
        <f t="shared" si="1"/>
        <v>83.75</v>
      </c>
      <c r="K16" s="188">
        <f>'DETAILED UNIT AREA TABULATION'!V30</f>
        <v>0</v>
      </c>
      <c r="L16" s="191">
        <v>1</v>
      </c>
    </row>
    <row r="17" spans="1:12" ht="15" thickBot="1" x14ac:dyDescent="0.4">
      <c r="A17" s="184">
        <f t="shared" si="2"/>
        <v>12</v>
      </c>
      <c r="B17" s="11" t="s">
        <v>32</v>
      </c>
      <c r="C17" s="12">
        <v>24</v>
      </c>
      <c r="D17" s="155" t="s">
        <v>35</v>
      </c>
      <c r="E17" s="185">
        <v>2</v>
      </c>
      <c r="F17" s="186">
        <f>'DETAILED UNIT AREA TABULATION'!J31</f>
        <v>79.77</v>
      </c>
      <c r="G17" s="186">
        <f>'DETAILED UNIT AREA TABULATION'!L31</f>
        <v>3.99</v>
      </c>
      <c r="H17" s="187"/>
      <c r="I17" s="190">
        <f>'DETAILED UNIT AREA TABULATION'!R31</f>
        <v>0</v>
      </c>
      <c r="J17" s="205">
        <f t="shared" si="1"/>
        <v>83.759999999999991</v>
      </c>
      <c r="K17" s="188">
        <f>'DETAILED UNIT AREA TABULATION'!V31</f>
        <v>0</v>
      </c>
      <c r="L17" s="191">
        <v>1</v>
      </c>
    </row>
    <row r="18" spans="1:12" ht="15" thickBot="1" x14ac:dyDescent="0.4">
      <c r="A18" s="184">
        <f t="shared" si="2"/>
        <v>13</v>
      </c>
      <c r="B18" s="11" t="s">
        <v>32</v>
      </c>
      <c r="C18" s="12">
        <v>25</v>
      </c>
      <c r="D18" s="155" t="s">
        <v>104</v>
      </c>
      <c r="E18" s="185">
        <v>2</v>
      </c>
      <c r="F18" s="186">
        <f>'DETAILED UNIT AREA TABULATION'!J32</f>
        <v>58.38</v>
      </c>
      <c r="G18" s="186">
        <f>'DETAILED UNIT AREA TABULATION'!L32</f>
        <v>2.4300000000000002</v>
      </c>
      <c r="H18" s="187"/>
      <c r="I18" s="190">
        <f>'DETAILED UNIT AREA TABULATION'!R32</f>
        <v>0</v>
      </c>
      <c r="J18" s="205">
        <f t="shared" si="1"/>
        <v>60.81</v>
      </c>
      <c r="K18" s="188">
        <f>'DETAILED UNIT AREA TABULATION'!V32</f>
        <v>0</v>
      </c>
      <c r="L18" s="191">
        <v>1</v>
      </c>
    </row>
    <row r="19" spans="1:12" ht="15" thickBot="1" x14ac:dyDescent="0.4">
      <c r="A19" s="184">
        <f t="shared" si="2"/>
        <v>14</v>
      </c>
      <c r="B19" s="11" t="s">
        <v>32</v>
      </c>
      <c r="C19" s="12">
        <v>26</v>
      </c>
      <c r="D19" s="155" t="s">
        <v>104</v>
      </c>
      <c r="E19" s="185">
        <v>2</v>
      </c>
      <c r="F19" s="186">
        <f>'DETAILED UNIT AREA TABULATION'!J33</f>
        <v>80.02</v>
      </c>
      <c r="G19" s="186">
        <f>'DETAILED UNIT AREA TABULATION'!L33</f>
        <v>3.87</v>
      </c>
      <c r="H19" s="187"/>
      <c r="I19" s="190">
        <f>'DETAILED UNIT AREA TABULATION'!R33</f>
        <v>0</v>
      </c>
      <c r="J19" s="205">
        <f t="shared" si="1"/>
        <v>83.89</v>
      </c>
      <c r="K19" s="188">
        <f>'DETAILED UNIT AREA TABULATION'!V33</f>
        <v>0</v>
      </c>
      <c r="L19" s="191">
        <v>1</v>
      </c>
    </row>
    <row r="20" spans="1:12" ht="15" thickBot="1" x14ac:dyDescent="0.4">
      <c r="A20" s="184">
        <f t="shared" si="2"/>
        <v>15</v>
      </c>
      <c r="B20" s="11" t="s">
        <v>32</v>
      </c>
      <c r="C20" s="12">
        <v>27</v>
      </c>
      <c r="D20" s="172" t="s">
        <v>33</v>
      </c>
      <c r="E20" s="185">
        <v>2</v>
      </c>
      <c r="F20" s="186">
        <f>'DETAILED UNIT AREA TABULATION'!J34</f>
        <v>93.57</v>
      </c>
      <c r="G20" s="186">
        <f>'DETAILED UNIT AREA TABULATION'!L34</f>
        <v>6.81</v>
      </c>
      <c r="H20" s="187"/>
      <c r="I20" s="190">
        <f>'DETAILED UNIT AREA TABULATION'!R34</f>
        <v>0</v>
      </c>
      <c r="J20" s="205">
        <f t="shared" si="1"/>
        <v>100.38</v>
      </c>
      <c r="K20" s="188">
        <f>'DETAILED UNIT AREA TABULATION'!V34</f>
        <v>0</v>
      </c>
      <c r="L20" s="191">
        <v>1</v>
      </c>
    </row>
    <row r="21" spans="1:12" ht="15" thickBot="1" x14ac:dyDescent="0.4">
      <c r="A21" s="184">
        <f t="shared" si="2"/>
        <v>16</v>
      </c>
      <c r="B21" s="11" t="s">
        <v>32</v>
      </c>
      <c r="C21" s="12">
        <v>28</v>
      </c>
      <c r="D21" s="156" t="s">
        <v>33</v>
      </c>
      <c r="E21" s="173">
        <v>2</v>
      </c>
      <c r="F21" s="186">
        <f>'DETAILED UNIT AREA TABULATION'!J35</f>
        <v>93.57</v>
      </c>
      <c r="G21" s="186">
        <f>'DETAILED UNIT AREA TABULATION'!L35</f>
        <v>6.81</v>
      </c>
      <c r="H21" s="192"/>
      <c r="I21" s="193">
        <f>'DETAILED UNIT AREA TABULATION'!R35</f>
        <v>0</v>
      </c>
      <c r="J21" s="206">
        <f t="shared" si="1"/>
        <v>100.38</v>
      </c>
      <c r="K21" s="188">
        <f>'DETAILED UNIT AREA TABULATION'!V35</f>
        <v>0</v>
      </c>
      <c r="L21" s="191">
        <v>1</v>
      </c>
    </row>
    <row r="22" spans="1:12" ht="15" thickBot="1" x14ac:dyDescent="0.4">
      <c r="A22" s="184">
        <f t="shared" si="2"/>
        <v>17</v>
      </c>
      <c r="B22" s="11" t="s">
        <v>32</v>
      </c>
      <c r="C22" s="12">
        <v>31</v>
      </c>
      <c r="D22" s="154" t="s">
        <v>35</v>
      </c>
      <c r="E22" s="185">
        <v>3</v>
      </c>
      <c r="F22" s="186">
        <f>'DETAILED UNIT AREA TABULATION'!J36</f>
        <v>93.57</v>
      </c>
      <c r="G22" s="186">
        <f>'DETAILED UNIT AREA TABULATION'!L36</f>
        <v>6.81</v>
      </c>
      <c r="H22" s="187"/>
      <c r="I22" s="190">
        <f>'DETAILED UNIT AREA TABULATION'!R36</f>
        <v>0</v>
      </c>
      <c r="J22" s="205">
        <f t="shared" si="1"/>
        <v>100.38</v>
      </c>
      <c r="K22" s="188">
        <f>'DETAILED UNIT AREA TABULATION'!V36</f>
        <v>0</v>
      </c>
      <c r="L22" s="191">
        <v>1</v>
      </c>
    </row>
    <row r="23" spans="1:12" ht="15" thickBot="1" x14ac:dyDescent="0.4">
      <c r="A23" s="184">
        <f t="shared" si="2"/>
        <v>18</v>
      </c>
      <c r="B23" s="11" t="s">
        <v>32</v>
      </c>
      <c r="C23" s="12">
        <v>32</v>
      </c>
      <c r="D23" s="155" t="s">
        <v>35</v>
      </c>
      <c r="E23" s="185">
        <v>3</v>
      </c>
      <c r="F23" s="186">
        <f>'DETAILED UNIT AREA TABULATION'!J37</f>
        <v>58.38</v>
      </c>
      <c r="G23" s="186">
        <f>'DETAILED UNIT AREA TABULATION'!L37</f>
        <v>2.4300000000000002</v>
      </c>
      <c r="H23" s="187"/>
      <c r="I23" s="190">
        <f>'DETAILED UNIT AREA TABULATION'!R37</f>
        <v>0</v>
      </c>
      <c r="J23" s="205">
        <f t="shared" si="1"/>
        <v>60.81</v>
      </c>
      <c r="K23" s="188">
        <f>'DETAILED UNIT AREA TABULATION'!V37</f>
        <v>0</v>
      </c>
      <c r="L23" s="191">
        <v>1</v>
      </c>
    </row>
    <row r="24" spans="1:12" ht="15" thickBot="1" x14ac:dyDescent="0.4">
      <c r="A24" s="184">
        <f t="shared" si="2"/>
        <v>19</v>
      </c>
      <c r="B24" s="11" t="s">
        <v>32</v>
      </c>
      <c r="C24" s="12">
        <v>33</v>
      </c>
      <c r="D24" s="155" t="s">
        <v>35</v>
      </c>
      <c r="E24" s="185">
        <v>3</v>
      </c>
      <c r="F24" s="186">
        <f>'DETAILED UNIT AREA TABULATION'!J38</f>
        <v>58.38</v>
      </c>
      <c r="G24" s="186">
        <f>'DETAILED UNIT AREA TABULATION'!L38</f>
        <v>2.4300000000000002</v>
      </c>
      <c r="H24" s="187"/>
      <c r="I24" s="190">
        <f>'DETAILED UNIT AREA TABULATION'!R38</f>
        <v>0</v>
      </c>
      <c r="J24" s="205">
        <f t="shared" si="1"/>
        <v>60.81</v>
      </c>
      <c r="K24" s="188">
        <f>'DETAILED UNIT AREA TABULATION'!V38</f>
        <v>0</v>
      </c>
      <c r="L24" s="191">
        <v>1</v>
      </c>
    </row>
    <row r="25" spans="1:12" ht="15" thickBot="1" x14ac:dyDescent="0.4">
      <c r="A25" s="184">
        <f t="shared" si="2"/>
        <v>20</v>
      </c>
      <c r="B25" s="11" t="s">
        <v>32</v>
      </c>
      <c r="C25" s="12">
        <v>34</v>
      </c>
      <c r="D25" s="155" t="s">
        <v>35</v>
      </c>
      <c r="E25" s="185">
        <v>3</v>
      </c>
      <c r="F25" s="186">
        <f>'DETAILED UNIT AREA TABULATION'!J39</f>
        <v>79.81</v>
      </c>
      <c r="G25" s="186">
        <f>'DETAILED UNIT AREA TABULATION'!L39</f>
        <v>4</v>
      </c>
      <c r="H25" s="187"/>
      <c r="I25" s="190">
        <f>'DETAILED UNIT AREA TABULATION'!R39</f>
        <v>0</v>
      </c>
      <c r="J25" s="205">
        <f t="shared" si="1"/>
        <v>83.81</v>
      </c>
      <c r="K25" s="188">
        <f>'DETAILED UNIT AREA TABULATION'!V39</f>
        <v>0</v>
      </c>
      <c r="L25" s="191">
        <v>1</v>
      </c>
    </row>
    <row r="26" spans="1:12" ht="15" thickBot="1" x14ac:dyDescent="0.4">
      <c r="A26" s="184">
        <f t="shared" si="2"/>
        <v>21</v>
      </c>
      <c r="B26" s="11" t="s">
        <v>32</v>
      </c>
      <c r="C26" s="12">
        <v>35</v>
      </c>
      <c r="D26" s="155" t="s">
        <v>104</v>
      </c>
      <c r="E26" s="185">
        <v>3</v>
      </c>
      <c r="F26" s="186">
        <f>'DETAILED UNIT AREA TABULATION'!J40</f>
        <v>79.64</v>
      </c>
      <c r="G26" s="186">
        <f>'DETAILED UNIT AREA TABULATION'!L40</f>
        <v>4</v>
      </c>
      <c r="H26" s="187"/>
      <c r="I26" s="190">
        <f>'DETAILED UNIT AREA TABULATION'!R40</f>
        <v>0</v>
      </c>
      <c r="J26" s="205">
        <f t="shared" si="1"/>
        <v>83.64</v>
      </c>
      <c r="K26" s="188">
        <f>'DETAILED UNIT AREA TABULATION'!V40</f>
        <v>0</v>
      </c>
      <c r="L26" s="191">
        <v>1</v>
      </c>
    </row>
    <row r="27" spans="1:12" ht="15" thickBot="1" x14ac:dyDescent="0.4">
      <c r="A27" s="184">
        <f t="shared" si="2"/>
        <v>22</v>
      </c>
      <c r="B27" s="11" t="s">
        <v>32</v>
      </c>
      <c r="C27" s="12">
        <v>36</v>
      </c>
      <c r="D27" s="155" t="s">
        <v>104</v>
      </c>
      <c r="E27" s="185">
        <v>3</v>
      </c>
      <c r="F27" s="186">
        <f>'DETAILED UNIT AREA TABULATION'!J41</f>
        <v>93.57</v>
      </c>
      <c r="G27" s="186">
        <f>'DETAILED UNIT AREA TABULATION'!L41</f>
        <v>6.81</v>
      </c>
      <c r="H27" s="187"/>
      <c r="I27" s="190">
        <f>'DETAILED UNIT AREA TABULATION'!R41</f>
        <v>0</v>
      </c>
      <c r="J27" s="205">
        <f t="shared" si="1"/>
        <v>100.38</v>
      </c>
      <c r="K27" s="188">
        <f>'DETAILED UNIT AREA TABULATION'!V41</f>
        <v>0</v>
      </c>
      <c r="L27" s="191">
        <v>1</v>
      </c>
    </row>
    <row r="28" spans="1:12" ht="15" thickBot="1" x14ac:dyDescent="0.4">
      <c r="A28" s="184">
        <f t="shared" si="2"/>
        <v>23</v>
      </c>
      <c r="B28" s="11" t="s">
        <v>32</v>
      </c>
      <c r="C28" s="12">
        <v>37</v>
      </c>
      <c r="D28" s="172" t="s">
        <v>33</v>
      </c>
      <c r="E28" s="185">
        <v>3</v>
      </c>
      <c r="F28" s="186">
        <f>'DETAILED UNIT AREA TABULATION'!J42</f>
        <v>94.76</v>
      </c>
      <c r="G28" s="186">
        <f>'DETAILED UNIT AREA TABULATION'!L42</f>
        <v>9.93</v>
      </c>
      <c r="H28" s="187"/>
      <c r="I28" s="190">
        <f>'DETAILED UNIT AREA TABULATION'!R42</f>
        <v>0</v>
      </c>
      <c r="J28" s="205">
        <f t="shared" si="1"/>
        <v>104.69</v>
      </c>
      <c r="K28" s="188">
        <f>'DETAILED UNIT AREA TABULATION'!V42</f>
        <v>0</v>
      </c>
      <c r="L28" s="191">
        <v>1</v>
      </c>
    </row>
    <row r="29" spans="1:12" ht="15" thickBot="1" x14ac:dyDescent="0.4">
      <c r="A29" s="184">
        <f t="shared" si="2"/>
        <v>24</v>
      </c>
      <c r="B29" s="11" t="s">
        <v>32</v>
      </c>
      <c r="C29" s="12">
        <v>38</v>
      </c>
      <c r="D29" s="156" t="s">
        <v>33</v>
      </c>
      <c r="E29" s="173">
        <v>3</v>
      </c>
      <c r="F29" s="186">
        <f>'DETAILED UNIT AREA TABULATION'!J43</f>
        <v>80</v>
      </c>
      <c r="G29" s="186">
        <f>'DETAILED UNIT AREA TABULATION'!L43</f>
        <v>3.99</v>
      </c>
      <c r="H29" s="192"/>
      <c r="I29" s="193">
        <f>'DETAILED UNIT AREA TABULATION'!R43</f>
        <v>0</v>
      </c>
      <c r="J29" s="206">
        <f t="shared" si="1"/>
        <v>83.99</v>
      </c>
      <c r="K29" s="188">
        <f>'DETAILED UNIT AREA TABULATION'!V43</f>
        <v>0</v>
      </c>
      <c r="L29" s="191">
        <v>1</v>
      </c>
    </row>
    <row r="30" spans="1:12" ht="15" thickBot="1" x14ac:dyDescent="0.4">
      <c r="A30" s="184">
        <f t="shared" si="2"/>
        <v>25</v>
      </c>
      <c r="B30" s="11" t="s">
        <v>32</v>
      </c>
      <c r="C30" s="12">
        <v>41</v>
      </c>
      <c r="D30" s="154" t="s">
        <v>35</v>
      </c>
      <c r="E30" s="185">
        <v>4</v>
      </c>
      <c r="F30" s="186">
        <f>'DETAILED UNIT AREA TABULATION'!J44</f>
        <v>79.56</v>
      </c>
      <c r="G30" s="186">
        <f>'DETAILED UNIT AREA TABULATION'!L44</f>
        <v>4.12</v>
      </c>
      <c r="H30" s="187"/>
      <c r="I30" s="190">
        <f>'DETAILED UNIT AREA TABULATION'!R44</f>
        <v>0</v>
      </c>
      <c r="J30" s="205">
        <f t="shared" si="1"/>
        <v>83.68</v>
      </c>
      <c r="K30" s="188">
        <f>'DETAILED UNIT AREA TABULATION'!V44</f>
        <v>0</v>
      </c>
      <c r="L30" s="191">
        <v>1</v>
      </c>
    </row>
    <row r="31" spans="1:12" ht="15" thickBot="1" x14ac:dyDescent="0.4">
      <c r="A31" s="184">
        <f t="shared" si="2"/>
        <v>26</v>
      </c>
      <c r="B31" s="11" t="s">
        <v>32</v>
      </c>
      <c r="C31" s="12">
        <v>42</v>
      </c>
      <c r="D31" s="155" t="s">
        <v>35</v>
      </c>
      <c r="E31" s="185">
        <v>4</v>
      </c>
      <c r="F31" s="186" t="e">
        <f>'DETAILED UNIT AREA TABULATION'!#REF!</f>
        <v>#REF!</v>
      </c>
      <c r="G31" s="186" t="e">
        <f>'DETAILED UNIT AREA TABULATION'!#REF!</f>
        <v>#REF!</v>
      </c>
      <c r="H31" s="187"/>
      <c r="I31" s="190" t="e">
        <f>'DETAILED UNIT AREA TABULATION'!#REF!</f>
        <v>#REF!</v>
      </c>
      <c r="J31" s="205" t="e">
        <f t="shared" si="1"/>
        <v>#REF!</v>
      </c>
      <c r="K31" s="188" t="e">
        <f>'DETAILED UNIT AREA TABULATION'!#REF!</f>
        <v>#REF!</v>
      </c>
      <c r="L31" s="191">
        <v>1</v>
      </c>
    </row>
    <row r="32" spans="1:12" ht="15" thickBot="1" x14ac:dyDescent="0.4">
      <c r="A32" s="184">
        <f t="shared" si="2"/>
        <v>27</v>
      </c>
      <c r="B32" s="11" t="s">
        <v>32</v>
      </c>
      <c r="C32" s="12">
        <v>43</v>
      </c>
      <c r="D32" s="155" t="s">
        <v>35</v>
      </c>
      <c r="E32" s="185">
        <v>4</v>
      </c>
      <c r="F32" s="186" t="e">
        <f>'DETAILED UNIT AREA TABULATION'!#REF!</f>
        <v>#REF!</v>
      </c>
      <c r="G32" s="186" t="e">
        <f>'DETAILED UNIT AREA TABULATION'!#REF!</f>
        <v>#REF!</v>
      </c>
      <c r="H32" s="187"/>
      <c r="I32" s="190" t="e">
        <f>'DETAILED UNIT AREA TABULATION'!#REF!</f>
        <v>#REF!</v>
      </c>
      <c r="J32" s="205" t="e">
        <f t="shared" si="1"/>
        <v>#REF!</v>
      </c>
      <c r="K32" s="188" t="e">
        <f>'DETAILED UNIT AREA TABULATION'!#REF!</f>
        <v>#REF!</v>
      </c>
      <c r="L32" s="191">
        <v>1</v>
      </c>
    </row>
    <row r="33" spans="1:12" ht="15" thickBot="1" x14ac:dyDescent="0.4">
      <c r="A33" s="184">
        <f t="shared" si="2"/>
        <v>28</v>
      </c>
      <c r="B33" s="11" t="s">
        <v>32</v>
      </c>
      <c r="C33" s="12">
        <v>44</v>
      </c>
      <c r="D33" s="155" t="s">
        <v>35</v>
      </c>
      <c r="E33" s="185">
        <v>4</v>
      </c>
      <c r="F33" s="186" t="e">
        <f>'DETAILED UNIT AREA TABULATION'!#REF!</f>
        <v>#REF!</v>
      </c>
      <c r="G33" s="186" t="e">
        <f>'DETAILED UNIT AREA TABULATION'!#REF!</f>
        <v>#REF!</v>
      </c>
      <c r="H33" s="187"/>
      <c r="I33" s="190" t="e">
        <f>'DETAILED UNIT AREA TABULATION'!#REF!</f>
        <v>#REF!</v>
      </c>
      <c r="J33" s="205" t="e">
        <f t="shared" si="1"/>
        <v>#REF!</v>
      </c>
      <c r="K33" s="188" t="e">
        <f>'DETAILED UNIT AREA TABULATION'!#REF!</f>
        <v>#REF!</v>
      </c>
      <c r="L33" s="191">
        <v>1</v>
      </c>
    </row>
    <row r="34" spans="1:12" ht="15" thickBot="1" x14ac:dyDescent="0.4">
      <c r="A34" s="184">
        <f t="shared" si="2"/>
        <v>29</v>
      </c>
      <c r="B34" s="11" t="s">
        <v>32</v>
      </c>
      <c r="C34" s="12">
        <v>45</v>
      </c>
      <c r="D34" s="155" t="s">
        <v>104</v>
      </c>
      <c r="E34" s="185">
        <v>4</v>
      </c>
      <c r="F34" s="186" t="e">
        <f>'DETAILED UNIT AREA TABULATION'!#REF!</f>
        <v>#REF!</v>
      </c>
      <c r="G34" s="186" t="e">
        <f>'DETAILED UNIT AREA TABULATION'!#REF!</f>
        <v>#REF!</v>
      </c>
      <c r="H34" s="187"/>
      <c r="I34" s="190" t="e">
        <f>'DETAILED UNIT AREA TABULATION'!#REF!</f>
        <v>#REF!</v>
      </c>
      <c r="J34" s="205" t="e">
        <f t="shared" si="1"/>
        <v>#REF!</v>
      </c>
      <c r="K34" s="188" t="e">
        <f>'DETAILED UNIT AREA TABULATION'!#REF!</f>
        <v>#REF!</v>
      </c>
      <c r="L34" s="191">
        <v>1</v>
      </c>
    </row>
    <row r="35" spans="1:12" ht="15" thickBot="1" x14ac:dyDescent="0.4">
      <c r="A35" s="184">
        <f t="shared" si="2"/>
        <v>30</v>
      </c>
      <c r="B35" s="11" t="s">
        <v>32</v>
      </c>
      <c r="C35" s="12">
        <v>46</v>
      </c>
      <c r="D35" s="155" t="s">
        <v>104</v>
      </c>
      <c r="E35" s="185">
        <v>4</v>
      </c>
      <c r="F35" s="186" t="e">
        <f>'DETAILED UNIT AREA TABULATION'!#REF!</f>
        <v>#REF!</v>
      </c>
      <c r="G35" s="186" t="e">
        <f>'DETAILED UNIT AREA TABULATION'!#REF!</f>
        <v>#REF!</v>
      </c>
      <c r="H35" s="187"/>
      <c r="I35" s="190" t="e">
        <f>'DETAILED UNIT AREA TABULATION'!#REF!</f>
        <v>#REF!</v>
      </c>
      <c r="J35" s="205" t="e">
        <f t="shared" si="1"/>
        <v>#REF!</v>
      </c>
      <c r="K35" s="188" t="e">
        <f>'DETAILED UNIT AREA TABULATION'!#REF!</f>
        <v>#REF!</v>
      </c>
      <c r="L35" s="191">
        <v>1</v>
      </c>
    </row>
    <row r="36" spans="1:12" ht="15" thickBot="1" x14ac:dyDescent="0.4">
      <c r="A36" s="184">
        <f t="shared" si="2"/>
        <v>31</v>
      </c>
      <c r="B36" s="11" t="s">
        <v>32</v>
      </c>
      <c r="C36" s="12">
        <v>47</v>
      </c>
      <c r="D36" s="172" t="s">
        <v>33</v>
      </c>
      <c r="E36" s="185">
        <v>4</v>
      </c>
      <c r="F36" s="186" t="e">
        <f>'DETAILED UNIT AREA TABULATION'!#REF!</f>
        <v>#REF!</v>
      </c>
      <c r="G36" s="186" t="e">
        <f>'DETAILED UNIT AREA TABULATION'!#REF!</f>
        <v>#REF!</v>
      </c>
      <c r="H36" s="187"/>
      <c r="I36" s="190" t="e">
        <f>'DETAILED UNIT AREA TABULATION'!#REF!</f>
        <v>#REF!</v>
      </c>
      <c r="J36" s="205" t="e">
        <f t="shared" si="1"/>
        <v>#REF!</v>
      </c>
      <c r="K36" s="188" t="e">
        <f>'DETAILED UNIT AREA TABULATION'!#REF!</f>
        <v>#REF!</v>
      </c>
      <c r="L36" s="191">
        <v>1</v>
      </c>
    </row>
    <row r="37" spans="1:12" ht="15" thickBot="1" x14ac:dyDescent="0.4">
      <c r="A37" s="184">
        <f t="shared" si="2"/>
        <v>32</v>
      </c>
      <c r="B37" s="11" t="s">
        <v>32</v>
      </c>
      <c r="C37" s="12">
        <v>48</v>
      </c>
      <c r="D37" s="156" t="s">
        <v>33</v>
      </c>
      <c r="E37" s="173">
        <v>4</v>
      </c>
      <c r="F37" s="186" t="e">
        <f>'DETAILED UNIT AREA TABULATION'!#REF!</f>
        <v>#REF!</v>
      </c>
      <c r="G37" s="186" t="e">
        <f>'DETAILED UNIT AREA TABULATION'!#REF!</f>
        <v>#REF!</v>
      </c>
      <c r="H37" s="192"/>
      <c r="I37" s="193" t="e">
        <f>'DETAILED UNIT AREA TABULATION'!#REF!</f>
        <v>#REF!</v>
      </c>
      <c r="J37" s="206" t="e">
        <f t="shared" si="1"/>
        <v>#REF!</v>
      </c>
      <c r="K37" s="188" t="e">
        <f>'DETAILED UNIT AREA TABULATION'!#REF!</f>
        <v>#REF!</v>
      </c>
      <c r="L37" s="191">
        <v>1</v>
      </c>
    </row>
    <row r="38" spans="1:12" ht="15" thickBot="1" x14ac:dyDescent="0.4">
      <c r="A38" s="184">
        <f t="shared" si="2"/>
        <v>33</v>
      </c>
      <c r="B38" s="11" t="s">
        <v>32</v>
      </c>
      <c r="C38" s="12">
        <v>51</v>
      </c>
      <c r="D38" s="154" t="s">
        <v>35</v>
      </c>
      <c r="E38" s="185">
        <v>5</v>
      </c>
      <c r="F38" s="186" t="e">
        <f>'DETAILED UNIT AREA TABULATION'!#REF!</f>
        <v>#REF!</v>
      </c>
      <c r="G38" s="186" t="e">
        <f>'DETAILED UNIT AREA TABULATION'!#REF!</f>
        <v>#REF!</v>
      </c>
      <c r="H38" s="187"/>
      <c r="I38" s="190" t="e">
        <f>'DETAILED UNIT AREA TABULATION'!#REF!</f>
        <v>#REF!</v>
      </c>
      <c r="J38" s="205" t="e">
        <f t="shared" si="1"/>
        <v>#REF!</v>
      </c>
      <c r="K38" s="188" t="e">
        <f>'DETAILED UNIT AREA TABULATION'!#REF!</f>
        <v>#REF!</v>
      </c>
      <c r="L38" s="191">
        <v>1</v>
      </c>
    </row>
    <row r="39" spans="1:12" ht="15" thickBot="1" x14ac:dyDescent="0.4">
      <c r="A39" s="184">
        <f t="shared" si="2"/>
        <v>34</v>
      </c>
      <c r="B39" s="11" t="s">
        <v>32</v>
      </c>
      <c r="C39" s="12">
        <v>52</v>
      </c>
      <c r="D39" s="155" t="s">
        <v>35</v>
      </c>
      <c r="E39" s="185">
        <v>5</v>
      </c>
      <c r="F39" s="186" t="e">
        <f>'DETAILED UNIT AREA TABULATION'!#REF!</f>
        <v>#REF!</v>
      </c>
      <c r="G39" s="186" t="e">
        <f>'DETAILED UNIT AREA TABULATION'!#REF!</f>
        <v>#REF!</v>
      </c>
      <c r="H39" s="187"/>
      <c r="I39" s="190" t="e">
        <f>'DETAILED UNIT AREA TABULATION'!#REF!</f>
        <v>#REF!</v>
      </c>
      <c r="J39" s="205" t="e">
        <f t="shared" si="1"/>
        <v>#REF!</v>
      </c>
      <c r="K39" s="188" t="e">
        <f>'DETAILED UNIT AREA TABULATION'!#REF!</f>
        <v>#REF!</v>
      </c>
      <c r="L39" s="191">
        <v>1</v>
      </c>
    </row>
    <row r="40" spans="1:12" ht="15" thickBot="1" x14ac:dyDescent="0.4">
      <c r="A40" s="184">
        <f t="shared" si="2"/>
        <v>35</v>
      </c>
      <c r="B40" s="11" t="s">
        <v>32</v>
      </c>
      <c r="C40" s="12">
        <v>53</v>
      </c>
      <c r="D40" s="155" t="s">
        <v>35</v>
      </c>
      <c r="E40" s="185">
        <v>5</v>
      </c>
      <c r="F40" s="186" t="e">
        <f>'DETAILED UNIT AREA TABULATION'!#REF!</f>
        <v>#REF!</v>
      </c>
      <c r="G40" s="186" t="e">
        <f>'DETAILED UNIT AREA TABULATION'!#REF!</f>
        <v>#REF!</v>
      </c>
      <c r="H40" s="187"/>
      <c r="I40" s="190" t="e">
        <f>'DETAILED UNIT AREA TABULATION'!#REF!</f>
        <v>#REF!</v>
      </c>
      <c r="J40" s="205" t="e">
        <f t="shared" si="1"/>
        <v>#REF!</v>
      </c>
      <c r="K40" s="188" t="e">
        <f>'DETAILED UNIT AREA TABULATION'!#REF!</f>
        <v>#REF!</v>
      </c>
      <c r="L40" s="191">
        <v>1</v>
      </c>
    </row>
    <row r="41" spans="1:12" ht="15" thickBot="1" x14ac:dyDescent="0.4">
      <c r="A41" s="184">
        <f t="shared" si="2"/>
        <v>36</v>
      </c>
      <c r="B41" s="11" t="s">
        <v>32</v>
      </c>
      <c r="C41" s="12">
        <v>54</v>
      </c>
      <c r="D41" s="155" t="s">
        <v>35</v>
      </c>
      <c r="E41" s="185">
        <v>5</v>
      </c>
      <c r="F41" s="186" t="e">
        <f>'DETAILED UNIT AREA TABULATION'!#REF!</f>
        <v>#REF!</v>
      </c>
      <c r="G41" s="186" t="e">
        <f>'DETAILED UNIT AREA TABULATION'!#REF!</f>
        <v>#REF!</v>
      </c>
      <c r="H41" s="187"/>
      <c r="I41" s="190" t="e">
        <f>'DETAILED UNIT AREA TABULATION'!#REF!</f>
        <v>#REF!</v>
      </c>
      <c r="J41" s="205" t="e">
        <f t="shared" si="1"/>
        <v>#REF!</v>
      </c>
      <c r="K41" s="188" t="e">
        <f>'DETAILED UNIT AREA TABULATION'!#REF!</f>
        <v>#REF!</v>
      </c>
      <c r="L41" s="191">
        <v>1</v>
      </c>
    </row>
    <row r="42" spans="1:12" ht="15" thickBot="1" x14ac:dyDescent="0.4">
      <c r="A42" s="184">
        <f t="shared" si="2"/>
        <v>37</v>
      </c>
      <c r="B42" s="11" t="s">
        <v>32</v>
      </c>
      <c r="C42" s="12">
        <v>55</v>
      </c>
      <c r="D42" s="155" t="s">
        <v>104</v>
      </c>
      <c r="E42" s="185">
        <v>5</v>
      </c>
      <c r="F42" s="186" t="e">
        <f>'DETAILED UNIT AREA TABULATION'!#REF!</f>
        <v>#REF!</v>
      </c>
      <c r="G42" s="186" t="e">
        <f>'DETAILED UNIT AREA TABULATION'!#REF!</f>
        <v>#REF!</v>
      </c>
      <c r="H42" s="187"/>
      <c r="I42" s="190" t="e">
        <f>'DETAILED UNIT AREA TABULATION'!#REF!</f>
        <v>#REF!</v>
      </c>
      <c r="J42" s="205" t="e">
        <f t="shared" si="1"/>
        <v>#REF!</v>
      </c>
      <c r="K42" s="188" t="e">
        <f>'DETAILED UNIT AREA TABULATION'!#REF!</f>
        <v>#REF!</v>
      </c>
      <c r="L42" s="191">
        <v>1</v>
      </c>
    </row>
    <row r="43" spans="1:12" ht="15" thickBot="1" x14ac:dyDescent="0.4">
      <c r="A43" s="184">
        <f t="shared" si="2"/>
        <v>38</v>
      </c>
      <c r="B43" s="11" t="s">
        <v>32</v>
      </c>
      <c r="C43" s="12">
        <v>56</v>
      </c>
      <c r="D43" s="155" t="s">
        <v>104</v>
      </c>
      <c r="E43" s="185">
        <v>5</v>
      </c>
      <c r="F43" s="186" t="e">
        <f>'DETAILED UNIT AREA TABULATION'!#REF!</f>
        <v>#REF!</v>
      </c>
      <c r="G43" s="186" t="e">
        <f>'DETAILED UNIT AREA TABULATION'!#REF!</f>
        <v>#REF!</v>
      </c>
      <c r="H43" s="187"/>
      <c r="I43" s="190" t="e">
        <f>'DETAILED UNIT AREA TABULATION'!#REF!</f>
        <v>#REF!</v>
      </c>
      <c r="J43" s="205" t="e">
        <f t="shared" si="1"/>
        <v>#REF!</v>
      </c>
      <c r="K43" s="188" t="e">
        <f>'DETAILED UNIT AREA TABULATION'!#REF!</f>
        <v>#REF!</v>
      </c>
      <c r="L43" s="191">
        <v>1</v>
      </c>
    </row>
    <row r="44" spans="1:12" ht="15" thickBot="1" x14ac:dyDescent="0.4">
      <c r="A44" s="184">
        <f t="shared" si="2"/>
        <v>39</v>
      </c>
      <c r="B44" s="11" t="s">
        <v>32</v>
      </c>
      <c r="C44" s="12">
        <v>57</v>
      </c>
      <c r="D44" s="172" t="s">
        <v>33</v>
      </c>
      <c r="E44" s="185">
        <v>5</v>
      </c>
      <c r="F44" s="186" t="e">
        <f>'DETAILED UNIT AREA TABULATION'!#REF!</f>
        <v>#REF!</v>
      </c>
      <c r="G44" s="186" t="e">
        <f>'DETAILED UNIT AREA TABULATION'!#REF!</f>
        <v>#REF!</v>
      </c>
      <c r="H44" s="187"/>
      <c r="I44" s="190" t="e">
        <f>'DETAILED UNIT AREA TABULATION'!#REF!</f>
        <v>#REF!</v>
      </c>
      <c r="J44" s="205" t="e">
        <f t="shared" si="1"/>
        <v>#REF!</v>
      </c>
      <c r="K44" s="188" t="e">
        <f>'DETAILED UNIT AREA TABULATION'!#REF!</f>
        <v>#REF!</v>
      </c>
      <c r="L44" s="191">
        <v>1</v>
      </c>
    </row>
    <row r="45" spans="1:12" ht="15" thickBot="1" x14ac:dyDescent="0.4">
      <c r="A45" s="184">
        <f t="shared" si="2"/>
        <v>40</v>
      </c>
      <c r="B45" s="11" t="s">
        <v>32</v>
      </c>
      <c r="C45" s="12">
        <v>58</v>
      </c>
      <c r="D45" s="156" t="s">
        <v>33</v>
      </c>
      <c r="E45" s="173">
        <v>5</v>
      </c>
      <c r="F45" s="186" t="e">
        <f>'DETAILED UNIT AREA TABULATION'!#REF!</f>
        <v>#REF!</v>
      </c>
      <c r="G45" s="186" t="e">
        <f>'DETAILED UNIT AREA TABULATION'!#REF!</f>
        <v>#REF!</v>
      </c>
      <c r="H45" s="192"/>
      <c r="I45" s="193" t="e">
        <f>'DETAILED UNIT AREA TABULATION'!#REF!</f>
        <v>#REF!</v>
      </c>
      <c r="J45" s="206" t="e">
        <f t="shared" si="1"/>
        <v>#REF!</v>
      </c>
      <c r="K45" s="188" t="e">
        <f>'DETAILED UNIT AREA TABULATION'!#REF!</f>
        <v>#REF!</v>
      </c>
      <c r="L45" s="191">
        <v>1</v>
      </c>
    </row>
    <row r="46" spans="1:12" ht="15" thickBot="1" x14ac:dyDescent="0.4">
      <c r="A46" s="184">
        <f t="shared" si="2"/>
        <v>41</v>
      </c>
      <c r="B46" s="11" t="s">
        <v>32</v>
      </c>
      <c r="C46" s="12">
        <v>61</v>
      </c>
      <c r="D46" s="154" t="s">
        <v>35</v>
      </c>
      <c r="E46" s="185">
        <v>6</v>
      </c>
      <c r="F46" s="186" t="e">
        <f>'DETAILED UNIT AREA TABULATION'!#REF!</f>
        <v>#REF!</v>
      </c>
      <c r="G46" s="186" t="e">
        <f>'DETAILED UNIT AREA TABULATION'!#REF!</f>
        <v>#REF!</v>
      </c>
      <c r="H46" s="187"/>
      <c r="I46" s="190" t="e">
        <f>'DETAILED UNIT AREA TABULATION'!#REF!</f>
        <v>#REF!</v>
      </c>
      <c r="J46" s="205" t="e">
        <f t="shared" si="1"/>
        <v>#REF!</v>
      </c>
      <c r="K46" s="188" t="e">
        <f>'DETAILED UNIT AREA TABULATION'!#REF!</f>
        <v>#REF!</v>
      </c>
      <c r="L46" s="191">
        <v>1</v>
      </c>
    </row>
    <row r="47" spans="1:12" ht="15" thickBot="1" x14ac:dyDescent="0.4">
      <c r="A47" s="184">
        <f t="shared" si="2"/>
        <v>42</v>
      </c>
      <c r="B47" s="11" t="s">
        <v>32</v>
      </c>
      <c r="C47" s="12">
        <v>62</v>
      </c>
      <c r="D47" s="155" t="s">
        <v>35</v>
      </c>
      <c r="E47" s="185">
        <v>6</v>
      </c>
      <c r="F47" s="186" t="e">
        <f>'DETAILED UNIT AREA TABULATION'!#REF!</f>
        <v>#REF!</v>
      </c>
      <c r="G47" s="186" t="e">
        <f>'DETAILED UNIT AREA TABULATION'!#REF!</f>
        <v>#REF!</v>
      </c>
      <c r="H47" s="187"/>
      <c r="I47" s="190" t="e">
        <f>'DETAILED UNIT AREA TABULATION'!#REF!</f>
        <v>#REF!</v>
      </c>
      <c r="J47" s="205" t="e">
        <f t="shared" si="1"/>
        <v>#REF!</v>
      </c>
      <c r="K47" s="188" t="e">
        <f>'DETAILED UNIT AREA TABULATION'!#REF!</f>
        <v>#REF!</v>
      </c>
      <c r="L47" s="191">
        <v>1</v>
      </c>
    </row>
    <row r="48" spans="1:12" ht="15" thickBot="1" x14ac:dyDescent="0.4">
      <c r="A48" s="184">
        <f t="shared" si="2"/>
        <v>43</v>
      </c>
      <c r="B48" s="11" t="s">
        <v>32</v>
      </c>
      <c r="C48" s="12">
        <v>63</v>
      </c>
      <c r="D48" s="155" t="s">
        <v>35</v>
      </c>
      <c r="E48" s="185">
        <v>6</v>
      </c>
      <c r="F48" s="186" t="e">
        <f>'DETAILED UNIT AREA TABULATION'!#REF!</f>
        <v>#REF!</v>
      </c>
      <c r="G48" s="186" t="e">
        <f>'DETAILED UNIT AREA TABULATION'!#REF!</f>
        <v>#REF!</v>
      </c>
      <c r="H48" s="187"/>
      <c r="I48" s="190" t="e">
        <f>'DETAILED UNIT AREA TABULATION'!#REF!</f>
        <v>#REF!</v>
      </c>
      <c r="J48" s="205" t="e">
        <f t="shared" si="1"/>
        <v>#REF!</v>
      </c>
      <c r="K48" s="188" t="e">
        <f>'DETAILED UNIT AREA TABULATION'!#REF!</f>
        <v>#REF!</v>
      </c>
      <c r="L48" s="191">
        <v>1</v>
      </c>
    </row>
    <row r="49" spans="1:12" ht="15" thickBot="1" x14ac:dyDescent="0.4">
      <c r="A49" s="184">
        <f t="shared" si="2"/>
        <v>44</v>
      </c>
      <c r="B49" s="11" t="s">
        <v>32</v>
      </c>
      <c r="C49" s="12">
        <v>64</v>
      </c>
      <c r="D49" s="155" t="s">
        <v>35</v>
      </c>
      <c r="E49" s="185">
        <v>6</v>
      </c>
      <c r="F49" s="186" t="e">
        <f>'DETAILED UNIT AREA TABULATION'!#REF!</f>
        <v>#REF!</v>
      </c>
      <c r="G49" s="186" t="e">
        <f>'DETAILED UNIT AREA TABULATION'!#REF!</f>
        <v>#REF!</v>
      </c>
      <c r="H49" s="187"/>
      <c r="I49" s="190" t="e">
        <f>'DETAILED UNIT AREA TABULATION'!#REF!</f>
        <v>#REF!</v>
      </c>
      <c r="J49" s="205" t="e">
        <f t="shared" si="1"/>
        <v>#REF!</v>
      </c>
      <c r="K49" s="188" t="e">
        <f>'DETAILED UNIT AREA TABULATION'!#REF!</f>
        <v>#REF!</v>
      </c>
      <c r="L49" s="191">
        <v>1</v>
      </c>
    </row>
    <row r="50" spans="1:12" ht="15" thickBot="1" x14ac:dyDescent="0.4">
      <c r="A50" s="184">
        <f t="shared" si="2"/>
        <v>45</v>
      </c>
      <c r="B50" s="11" t="s">
        <v>32</v>
      </c>
      <c r="C50" s="12">
        <v>65</v>
      </c>
      <c r="D50" s="155" t="s">
        <v>104</v>
      </c>
      <c r="E50" s="185">
        <v>6</v>
      </c>
      <c r="F50" s="186" t="e">
        <f>'DETAILED UNIT AREA TABULATION'!#REF!</f>
        <v>#REF!</v>
      </c>
      <c r="G50" s="186" t="e">
        <f>'DETAILED UNIT AREA TABULATION'!#REF!</f>
        <v>#REF!</v>
      </c>
      <c r="H50" s="187"/>
      <c r="I50" s="190" t="e">
        <f>'DETAILED UNIT AREA TABULATION'!#REF!</f>
        <v>#REF!</v>
      </c>
      <c r="J50" s="205" t="e">
        <f t="shared" si="1"/>
        <v>#REF!</v>
      </c>
      <c r="K50" s="188" t="e">
        <f>'DETAILED UNIT AREA TABULATION'!#REF!</f>
        <v>#REF!</v>
      </c>
      <c r="L50" s="191">
        <v>1</v>
      </c>
    </row>
    <row r="51" spans="1:12" ht="15" thickBot="1" x14ac:dyDescent="0.4">
      <c r="A51" s="184">
        <f t="shared" si="2"/>
        <v>46</v>
      </c>
      <c r="B51" s="11" t="s">
        <v>32</v>
      </c>
      <c r="C51" s="12">
        <v>66</v>
      </c>
      <c r="D51" s="155" t="s">
        <v>104</v>
      </c>
      <c r="E51" s="185">
        <v>6</v>
      </c>
      <c r="F51" s="186" t="e">
        <f>'DETAILED UNIT AREA TABULATION'!#REF!</f>
        <v>#REF!</v>
      </c>
      <c r="G51" s="186" t="e">
        <f>'DETAILED UNIT AREA TABULATION'!#REF!</f>
        <v>#REF!</v>
      </c>
      <c r="H51" s="187"/>
      <c r="I51" s="190" t="e">
        <f>'DETAILED UNIT AREA TABULATION'!#REF!</f>
        <v>#REF!</v>
      </c>
      <c r="J51" s="205" t="e">
        <f t="shared" si="1"/>
        <v>#REF!</v>
      </c>
      <c r="K51" s="188" t="e">
        <f>'DETAILED UNIT AREA TABULATION'!#REF!</f>
        <v>#REF!</v>
      </c>
      <c r="L51" s="191">
        <v>1</v>
      </c>
    </row>
    <row r="52" spans="1:12" ht="15" thickBot="1" x14ac:dyDescent="0.4">
      <c r="A52" s="184">
        <f t="shared" si="2"/>
        <v>47</v>
      </c>
      <c r="B52" s="11" t="s">
        <v>32</v>
      </c>
      <c r="C52" s="12">
        <v>67</v>
      </c>
      <c r="D52" s="172" t="s">
        <v>33</v>
      </c>
      <c r="E52" s="185">
        <v>6</v>
      </c>
      <c r="F52" s="186" t="e">
        <f>'DETAILED UNIT AREA TABULATION'!#REF!</f>
        <v>#REF!</v>
      </c>
      <c r="G52" s="186" t="e">
        <f>'DETAILED UNIT AREA TABULATION'!#REF!</f>
        <v>#REF!</v>
      </c>
      <c r="H52" s="187"/>
      <c r="I52" s="190" t="e">
        <f>'DETAILED UNIT AREA TABULATION'!#REF!</f>
        <v>#REF!</v>
      </c>
      <c r="J52" s="205" t="e">
        <f t="shared" si="1"/>
        <v>#REF!</v>
      </c>
      <c r="K52" s="188" t="e">
        <f>'DETAILED UNIT AREA TABULATION'!#REF!</f>
        <v>#REF!</v>
      </c>
      <c r="L52" s="191">
        <v>1</v>
      </c>
    </row>
    <row r="53" spans="1:12" ht="15" thickBot="1" x14ac:dyDescent="0.4">
      <c r="A53" s="184">
        <f t="shared" si="2"/>
        <v>48</v>
      </c>
      <c r="B53" s="11" t="s">
        <v>32</v>
      </c>
      <c r="C53" s="12">
        <v>68</v>
      </c>
      <c r="D53" s="156" t="s">
        <v>33</v>
      </c>
      <c r="E53" s="173">
        <v>6</v>
      </c>
      <c r="F53" s="186" t="e">
        <f>'DETAILED UNIT AREA TABULATION'!#REF!</f>
        <v>#REF!</v>
      </c>
      <c r="G53" s="186" t="e">
        <f>'DETAILED UNIT AREA TABULATION'!#REF!</f>
        <v>#REF!</v>
      </c>
      <c r="H53" s="192"/>
      <c r="I53" s="193" t="e">
        <f>'DETAILED UNIT AREA TABULATION'!#REF!</f>
        <v>#REF!</v>
      </c>
      <c r="J53" s="206" t="e">
        <f t="shared" si="1"/>
        <v>#REF!</v>
      </c>
      <c r="K53" s="188" t="e">
        <f>'DETAILED UNIT AREA TABULATION'!#REF!</f>
        <v>#REF!</v>
      </c>
      <c r="L53" s="191">
        <v>1</v>
      </c>
    </row>
    <row r="54" spans="1:12" ht="15" thickBot="1" x14ac:dyDescent="0.4">
      <c r="A54" s="184">
        <f t="shared" si="2"/>
        <v>49</v>
      </c>
      <c r="B54" s="11" t="s">
        <v>32</v>
      </c>
      <c r="C54" s="12">
        <v>71</v>
      </c>
      <c r="D54" s="154" t="s">
        <v>35</v>
      </c>
      <c r="E54" s="185">
        <v>7</v>
      </c>
      <c r="F54" s="186" t="e">
        <f>'DETAILED UNIT AREA TABULATION'!#REF!</f>
        <v>#REF!</v>
      </c>
      <c r="G54" s="186" t="e">
        <f>'DETAILED UNIT AREA TABULATION'!#REF!</f>
        <v>#REF!</v>
      </c>
      <c r="H54" s="187"/>
      <c r="I54" s="190" t="e">
        <f>'DETAILED UNIT AREA TABULATION'!#REF!</f>
        <v>#REF!</v>
      </c>
      <c r="J54" s="205" t="e">
        <f t="shared" si="1"/>
        <v>#REF!</v>
      </c>
      <c r="K54" s="188" t="e">
        <f>'DETAILED UNIT AREA TABULATION'!#REF!</f>
        <v>#REF!</v>
      </c>
      <c r="L54" s="191">
        <v>1</v>
      </c>
    </row>
    <row r="55" spans="1:12" ht="15" thickBot="1" x14ac:dyDescent="0.4">
      <c r="A55" s="184">
        <f t="shared" si="2"/>
        <v>50</v>
      </c>
      <c r="B55" s="11" t="s">
        <v>32</v>
      </c>
      <c r="C55" s="12">
        <v>72</v>
      </c>
      <c r="D55" s="155" t="s">
        <v>35</v>
      </c>
      <c r="E55" s="185">
        <v>7</v>
      </c>
      <c r="F55" s="186" t="e">
        <f>'DETAILED UNIT AREA TABULATION'!#REF!</f>
        <v>#REF!</v>
      </c>
      <c r="G55" s="186" t="e">
        <f>'DETAILED UNIT AREA TABULATION'!#REF!</f>
        <v>#REF!</v>
      </c>
      <c r="H55" s="187"/>
      <c r="I55" s="190" t="e">
        <f>'DETAILED UNIT AREA TABULATION'!#REF!</f>
        <v>#REF!</v>
      </c>
      <c r="J55" s="205" t="e">
        <f t="shared" si="1"/>
        <v>#REF!</v>
      </c>
      <c r="K55" s="188" t="e">
        <f>'DETAILED UNIT AREA TABULATION'!#REF!</f>
        <v>#REF!</v>
      </c>
      <c r="L55" s="191">
        <v>1</v>
      </c>
    </row>
    <row r="56" spans="1:12" ht="15" thickBot="1" x14ac:dyDescent="0.4">
      <c r="A56" s="184">
        <f t="shared" si="2"/>
        <v>51</v>
      </c>
      <c r="B56" s="11" t="s">
        <v>32</v>
      </c>
      <c r="C56" s="12">
        <v>73</v>
      </c>
      <c r="D56" s="155" t="s">
        <v>35</v>
      </c>
      <c r="E56" s="185">
        <v>7</v>
      </c>
      <c r="F56" s="186" t="e">
        <f>'DETAILED UNIT AREA TABULATION'!#REF!</f>
        <v>#REF!</v>
      </c>
      <c r="G56" s="186" t="e">
        <f>'DETAILED UNIT AREA TABULATION'!#REF!</f>
        <v>#REF!</v>
      </c>
      <c r="H56" s="187"/>
      <c r="I56" s="190" t="e">
        <f>'DETAILED UNIT AREA TABULATION'!#REF!</f>
        <v>#REF!</v>
      </c>
      <c r="J56" s="205" t="e">
        <f t="shared" si="1"/>
        <v>#REF!</v>
      </c>
      <c r="K56" s="188" t="e">
        <f>'DETAILED UNIT AREA TABULATION'!#REF!</f>
        <v>#REF!</v>
      </c>
      <c r="L56" s="191">
        <v>1</v>
      </c>
    </row>
    <row r="57" spans="1:12" ht="15" thickBot="1" x14ac:dyDescent="0.4">
      <c r="A57" s="184">
        <f t="shared" si="2"/>
        <v>52</v>
      </c>
      <c r="B57" s="11" t="s">
        <v>32</v>
      </c>
      <c r="C57" s="12">
        <v>74</v>
      </c>
      <c r="D57" s="155" t="s">
        <v>35</v>
      </c>
      <c r="E57" s="185">
        <v>7</v>
      </c>
      <c r="F57" s="186" t="e">
        <f>'DETAILED UNIT AREA TABULATION'!#REF!</f>
        <v>#REF!</v>
      </c>
      <c r="G57" s="186" t="e">
        <f>'DETAILED UNIT AREA TABULATION'!#REF!</f>
        <v>#REF!</v>
      </c>
      <c r="H57" s="187"/>
      <c r="I57" s="190" t="e">
        <f>'DETAILED UNIT AREA TABULATION'!#REF!</f>
        <v>#REF!</v>
      </c>
      <c r="J57" s="205" t="e">
        <f t="shared" si="1"/>
        <v>#REF!</v>
      </c>
      <c r="K57" s="188" t="e">
        <f>'DETAILED UNIT AREA TABULATION'!#REF!</f>
        <v>#REF!</v>
      </c>
      <c r="L57" s="191">
        <v>1</v>
      </c>
    </row>
    <row r="58" spans="1:12" ht="15" thickBot="1" x14ac:dyDescent="0.4">
      <c r="A58" s="184">
        <f t="shared" si="2"/>
        <v>53</v>
      </c>
      <c r="B58" s="11" t="s">
        <v>32</v>
      </c>
      <c r="C58" s="12">
        <v>75</v>
      </c>
      <c r="D58" s="155" t="s">
        <v>104</v>
      </c>
      <c r="E58" s="185">
        <v>7</v>
      </c>
      <c r="F58" s="186" t="e">
        <f>'DETAILED UNIT AREA TABULATION'!#REF!</f>
        <v>#REF!</v>
      </c>
      <c r="G58" s="186" t="e">
        <f>'DETAILED UNIT AREA TABULATION'!#REF!</f>
        <v>#REF!</v>
      </c>
      <c r="H58" s="187"/>
      <c r="I58" s="190" t="e">
        <f>'DETAILED UNIT AREA TABULATION'!#REF!</f>
        <v>#REF!</v>
      </c>
      <c r="J58" s="205" t="e">
        <f t="shared" si="1"/>
        <v>#REF!</v>
      </c>
      <c r="K58" s="188" t="e">
        <f>'DETAILED UNIT AREA TABULATION'!#REF!</f>
        <v>#REF!</v>
      </c>
      <c r="L58" s="191">
        <v>1</v>
      </c>
    </row>
    <row r="59" spans="1:12" ht="15" thickBot="1" x14ac:dyDescent="0.4">
      <c r="A59" s="184">
        <f t="shared" si="2"/>
        <v>54</v>
      </c>
      <c r="B59" s="11" t="s">
        <v>32</v>
      </c>
      <c r="C59" s="12">
        <v>76</v>
      </c>
      <c r="D59" s="155" t="s">
        <v>104</v>
      </c>
      <c r="E59" s="185">
        <v>7</v>
      </c>
      <c r="F59" s="186" t="e">
        <f>'DETAILED UNIT AREA TABULATION'!#REF!</f>
        <v>#REF!</v>
      </c>
      <c r="G59" s="186" t="e">
        <f>'DETAILED UNIT AREA TABULATION'!#REF!</f>
        <v>#REF!</v>
      </c>
      <c r="H59" s="187"/>
      <c r="I59" s="190" t="e">
        <f>'DETAILED UNIT AREA TABULATION'!#REF!</f>
        <v>#REF!</v>
      </c>
      <c r="J59" s="205" t="e">
        <f t="shared" si="1"/>
        <v>#REF!</v>
      </c>
      <c r="K59" s="188" t="e">
        <f>'DETAILED UNIT AREA TABULATION'!#REF!</f>
        <v>#REF!</v>
      </c>
      <c r="L59" s="191">
        <v>1</v>
      </c>
    </row>
    <row r="60" spans="1:12" ht="15" thickBot="1" x14ac:dyDescent="0.4">
      <c r="A60" s="184">
        <f t="shared" si="2"/>
        <v>55</v>
      </c>
      <c r="B60" s="11" t="s">
        <v>32</v>
      </c>
      <c r="C60" s="12">
        <v>77</v>
      </c>
      <c r="D60" s="172" t="s">
        <v>33</v>
      </c>
      <c r="E60" s="185">
        <v>7</v>
      </c>
      <c r="F60" s="186" t="e">
        <f>'DETAILED UNIT AREA TABULATION'!#REF!</f>
        <v>#REF!</v>
      </c>
      <c r="G60" s="186" t="e">
        <f>'DETAILED UNIT AREA TABULATION'!#REF!</f>
        <v>#REF!</v>
      </c>
      <c r="H60" s="187"/>
      <c r="I60" s="190" t="e">
        <f>'DETAILED UNIT AREA TABULATION'!#REF!</f>
        <v>#REF!</v>
      </c>
      <c r="J60" s="205" t="e">
        <f t="shared" si="1"/>
        <v>#REF!</v>
      </c>
      <c r="K60" s="188" t="e">
        <f>'DETAILED UNIT AREA TABULATION'!#REF!</f>
        <v>#REF!</v>
      </c>
      <c r="L60" s="191">
        <v>1</v>
      </c>
    </row>
    <row r="61" spans="1:12" ht="15" thickBot="1" x14ac:dyDescent="0.4">
      <c r="A61" s="184">
        <f t="shared" si="2"/>
        <v>56</v>
      </c>
      <c r="B61" s="11" t="s">
        <v>32</v>
      </c>
      <c r="C61" s="12">
        <v>78</v>
      </c>
      <c r="D61" s="156" t="s">
        <v>33</v>
      </c>
      <c r="E61" s="173">
        <v>7</v>
      </c>
      <c r="F61" s="186" t="e">
        <f>'DETAILED UNIT AREA TABULATION'!#REF!</f>
        <v>#REF!</v>
      </c>
      <c r="G61" s="186" t="e">
        <f>'DETAILED UNIT AREA TABULATION'!#REF!</f>
        <v>#REF!</v>
      </c>
      <c r="H61" s="192"/>
      <c r="I61" s="193" t="e">
        <f>'DETAILED UNIT AREA TABULATION'!#REF!</f>
        <v>#REF!</v>
      </c>
      <c r="J61" s="206" t="e">
        <f t="shared" si="1"/>
        <v>#REF!</v>
      </c>
      <c r="K61" s="188" t="e">
        <f>'DETAILED UNIT AREA TABULATION'!#REF!</f>
        <v>#REF!</v>
      </c>
      <c r="L61" s="191">
        <v>1</v>
      </c>
    </row>
    <row r="62" spans="1:12" ht="15" thickBot="1" x14ac:dyDescent="0.4">
      <c r="A62" s="184">
        <f t="shared" si="2"/>
        <v>57</v>
      </c>
      <c r="B62" s="11" t="s">
        <v>32</v>
      </c>
      <c r="C62" s="12">
        <v>81</v>
      </c>
      <c r="D62" s="154" t="s">
        <v>35</v>
      </c>
      <c r="E62" s="185">
        <v>8</v>
      </c>
      <c r="F62" s="186" t="e">
        <f>'DETAILED UNIT AREA TABULATION'!#REF!</f>
        <v>#REF!</v>
      </c>
      <c r="G62" s="186" t="e">
        <f>'DETAILED UNIT AREA TABULATION'!#REF!</f>
        <v>#REF!</v>
      </c>
      <c r="H62" s="187"/>
      <c r="I62" s="190" t="e">
        <f>'DETAILED UNIT AREA TABULATION'!#REF!</f>
        <v>#REF!</v>
      </c>
      <c r="J62" s="205" t="e">
        <f t="shared" si="1"/>
        <v>#REF!</v>
      </c>
      <c r="K62" s="188" t="e">
        <f>'DETAILED UNIT AREA TABULATION'!#REF!</f>
        <v>#REF!</v>
      </c>
      <c r="L62" s="191">
        <v>1</v>
      </c>
    </row>
    <row r="63" spans="1:12" ht="15" thickBot="1" x14ac:dyDescent="0.4">
      <c r="A63" s="184">
        <f t="shared" si="2"/>
        <v>58</v>
      </c>
      <c r="B63" s="11" t="s">
        <v>32</v>
      </c>
      <c r="C63" s="12">
        <v>82</v>
      </c>
      <c r="D63" s="155" t="s">
        <v>35</v>
      </c>
      <c r="E63" s="185">
        <v>8</v>
      </c>
      <c r="F63" s="186" t="e">
        <f>'DETAILED UNIT AREA TABULATION'!#REF!</f>
        <v>#REF!</v>
      </c>
      <c r="G63" s="186" t="e">
        <f>'DETAILED UNIT AREA TABULATION'!#REF!</f>
        <v>#REF!</v>
      </c>
      <c r="H63" s="187"/>
      <c r="I63" s="190" t="e">
        <f>'DETAILED UNIT AREA TABULATION'!#REF!</f>
        <v>#REF!</v>
      </c>
      <c r="J63" s="205" t="e">
        <f t="shared" si="1"/>
        <v>#REF!</v>
      </c>
      <c r="K63" s="188" t="e">
        <f>'DETAILED UNIT AREA TABULATION'!#REF!</f>
        <v>#REF!</v>
      </c>
      <c r="L63" s="191">
        <v>1</v>
      </c>
    </row>
    <row r="64" spans="1:12" ht="15" thickBot="1" x14ac:dyDescent="0.4">
      <c r="A64" s="184">
        <f t="shared" si="2"/>
        <v>59</v>
      </c>
      <c r="B64" s="11" t="s">
        <v>32</v>
      </c>
      <c r="C64" s="12">
        <v>83</v>
      </c>
      <c r="D64" s="155" t="s">
        <v>35</v>
      </c>
      <c r="E64" s="185">
        <v>8</v>
      </c>
      <c r="F64" s="186" t="e">
        <f>'DETAILED UNIT AREA TABULATION'!#REF!</f>
        <v>#REF!</v>
      </c>
      <c r="G64" s="186" t="e">
        <f>'DETAILED UNIT AREA TABULATION'!#REF!</f>
        <v>#REF!</v>
      </c>
      <c r="H64" s="187"/>
      <c r="I64" s="190" t="e">
        <f>'DETAILED UNIT AREA TABULATION'!#REF!</f>
        <v>#REF!</v>
      </c>
      <c r="J64" s="205" t="e">
        <f t="shared" si="1"/>
        <v>#REF!</v>
      </c>
      <c r="K64" s="188" t="e">
        <f>'DETAILED UNIT AREA TABULATION'!#REF!</f>
        <v>#REF!</v>
      </c>
      <c r="L64" s="191">
        <v>1</v>
      </c>
    </row>
    <row r="65" spans="1:12" ht="15" thickBot="1" x14ac:dyDescent="0.4">
      <c r="A65" s="184">
        <f t="shared" si="2"/>
        <v>60</v>
      </c>
      <c r="B65" s="11" t="s">
        <v>32</v>
      </c>
      <c r="C65" s="12">
        <v>84</v>
      </c>
      <c r="D65" s="155" t="s">
        <v>35</v>
      </c>
      <c r="E65" s="185">
        <v>8</v>
      </c>
      <c r="F65" s="186" t="e">
        <f>'DETAILED UNIT AREA TABULATION'!#REF!</f>
        <v>#REF!</v>
      </c>
      <c r="G65" s="186" t="e">
        <f>'DETAILED UNIT AREA TABULATION'!#REF!</f>
        <v>#REF!</v>
      </c>
      <c r="H65" s="187"/>
      <c r="I65" s="190" t="e">
        <f>'DETAILED UNIT AREA TABULATION'!#REF!</f>
        <v>#REF!</v>
      </c>
      <c r="J65" s="205" t="e">
        <f t="shared" si="1"/>
        <v>#REF!</v>
      </c>
      <c r="K65" s="188" t="e">
        <f>'DETAILED UNIT AREA TABULATION'!#REF!</f>
        <v>#REF!</v>
      </c>
      <c r="L65" s="191">
        <v>1</v>
      </c>
    </row>
    <row r="66" spans="1:12" ht="15" thickBot="1" x14ac:dyDescent="0.4">
      <c r="A66" s="184">
        <f t="shared" si="2"/>
        <v>61</v>
      </c>
      <c r="B66" s="11" t="s">
        <v>32</v>
      </c>
      <c r="C66" s="12">
        <v>85</v>
      </c>
      <c r="D66" s="155" t="s">
        <v>104</v>
      </c>
      <c r="E66" s="185">
        <v>8</v>
      </c>
      <c r="F66" s="186" t="e">
        <f>'DETAILED UNIT AREA TABULATION'!#REF!</f>
        <v>#REF!</v>
      </c>
      <c r="G66" s="186" t="e">
        <f>'DETAILED UNIT AREA TABULATION'!#REF!</f>
        <v>#REF!</v>
      </c>
      <c r="H66" s="187"/>
      <c r="I66" s="190" t="e">
        <f>'DETAILED UNIT AREA TABULATION'!#REF!</f>
        <v>#REF!</v>
      </c>
      <c r="J66" s="205" t="e">
        <f t="shared" si="1"/>
        <v>#REF!</v>
      </c>
      <c r="K66" s="188" t="e">
        <f>'DETAILED UNIT AREA TABULATION'!#REF!</f>
        <v>#REF!</v>
      </c>
      <c r="L66" s="191">
        <v>1</v>
      </c>
    </row>
    <row r="67" spans="1:12" ht="15" thickBot="1" x14ac:dyDescent="0.4">
      <c r="A67" s="184">
        <f t="shared" si="2"/>
        <v>62</v>
      </c>
      <c r="B67" s="11" t="s">
        <v>32</v>
      </c>
      <c r="C67" s="12">
        <v>86</v>
      </c>
      <c r="D67" s="155" t="s">
        <v>104</v>
      </c>
      <c r="E67" s="185">
        <v>8</v>
      </c>
      <c r="F67" s="186" t="e">
        <f>'DETAILED UNIT AREA TABULATION'!#REF!</f>
        <v>#REF!</v>
      </c>
      <c r="G67" s="186" t="e">
        <f>'DETAILED UNIT AREA TABULATION'!#REF!</f>
        <v>#REF!</v>
      </c>
      <c r="H67" s="187"/>
      <c r="I67" s="190" t="e">
        <f>'DETAILED UNIT AREA TABULATION'!#REF!</f>
        <v>#REF!</v>
      </c>
      <c r="J67" s="205" t="e">
        <f t="shared" si="1"/>
        <v>#REF!</v>
      </c>
      <c r="K67" s="188" t="e">
        <f>'DETAILED UNIT AREA TABULATION'!#REF!</f>
        <v>#REF!</v>
      </c>
      <c r="L67" s="191">
        <v>1</v>
      </c>
    </row>
    <row r="68" spans="1:12" ht="15" thickBot="1" x14ac:dyDescent="0.4">
      <c r="A68" s="184">
        <f t="shared" si="2"/>
        <v>63</v>
      </c>
      <c r="B68" s="11" t="s">
        <v>32</v>
      </c>
      <c r="C68" s="12">
        <v>87</v>
      </c>
      <c r="D68" s="172" t="s">
        <v>33</v>
      </c>
      <c r="E68" s="185">
        <v>8</v>
      </c>
      <c r="F68" s="186" t="e">
        <f>'DETAILED UNIT AREA TABULATION'!#REF!</f>
        <v>#REF!</v>
      </c>
      <c r="G68" s="186" t="e">
        <f>'DETAILED UNIT AREA TABULATION'!#REF!</f>
        <v>#REF!</v>
      </c>
      <c r="H68" s="187"/>
      <c r="I68" s="190" t="e">
        <f>'DETAILED UNIT AREA TABULATION'!#REF!</f>
        <v>#REF!</v>
      </c>
      <c r="J68" s="205" t="e">
        <f t="shared" si="1"/>
        <v>#REF!</v>
      </c>
      <c r="K68" s="188" t="e">
        <f>'DETAILED UNIT AREA TABULATION'!#REF!</f>
        <v>#REF!</v>
      </c>
      <c r="L68" s="191">
        <v>1</v>
      </c>
    </row>
    <row r="69" spans="1:12" ht="15" thickBot="1" x14ac:dyDescent="0.4">
      <c r="A69" s="194">
        <f t="shared" si="2"/>
        <v>64</v>
      </c>
      <c r="B69" s="124" t="s">
        <v>32</v>
      </c>
      <c r="C69" s="125">
        <v>88</v>
      </c>
      <c r="D69" s="156" t="s">
        <v>33</v>
      </c>
      <c r="E69" s="173">
        <v>8</v>
      </c>
      <c r="F69" s="186" t="e">
        <f>'DETAILED UNIT AREA TABULATION'!#REF!</f>
        <v>#REF!</v>
      </c>
      <c r="G69" s="186" t="e">
        <f>'DETAILED UNIT AREA TABULATION'!#REF!</f>
        <v>#REF!</v>
      </c>
      <c r="H69" s="192"/>
      <c r="I69" s="193" t="e">
        <f>'DETAILED UNIT AREA TABULATION'!#REF!</f>
        <v>#REF!</v>
      </c>
      <c r="J69" s="206" t="e">
        <f t="shared" si="1"/>
        <v>#REF!</v>
      </c>
      <c r="K69" s="188" t="e">
        <f>'DETAILED UNIT AREA TABULATION'!#REF!</f>
        <v>#REF!</v>
      </c>
      <c r="L69" s="191">
        <v>1</v>
      </c>
    </row>
    <row r="70" spans="1:12" ht="15" thickBot="1" x14ac:dyDescent="0.4">
      <c r="A70" s="184">
        <f t="shared" si="2"/>
        <v>65</v>
      </c>
      <c r="B70" s="11" t="s">
        <v>101</v>
      </c>
      <c r="C70" s="12">
        <v>11</v>
      </c>
      <c r="D70" s="154" t="s">
        <v>35</v>
      </c>
      <c r="E70" s="185">
        <v>1</v>
      </c>
      <c r="F70" s="186" t="e">
        <f>'DETAILED UNIT AREA TABULATION'!#REF!</f>
        <v>#REF!</v>
      </c>
      <c r="G70" s="186" t="e">
        <f>'DETAILED UNIT AREA TABULATION'!#REF!</f>
        <v>#REF!</v>
      </c>
      <c r="H70" s="187"/>
      <c r="I70" s="190" t="e">
        <f>'DETAILED UNIT AREA TABULATION'!#REF!</f>
        <v>#REF!</v>
      </c>
      <c r="J70" s="205" t="e">
        <f t="shared" si="1"/>
        <v>#REF!</v>
      </c>
      <c r="K70" s="188" t="e">
        <f>'DETAILED UNIT AREA TABULATION'!#REF!</f>
        <v>#REF!</v>
      </c>
      <c r="L70" s="191">
        <v>1</v>
      </c>
    </row>
    <row r="71" spans="1:12" ht="15" thickBot="1" x14ac:dyDescent="0.4">
      <c r="A71" s="184">
        <f t="shared" si="2"/>
        <v>66</v>
      </c>
      <c r="B71" s="11" t="s">
        <v>101</v>
      </c>
      <c r="C71" s="12">
        <v>12</v>
      </c>
      <c r="D71" s="155" t="s">
        <v>35</v>
      </c>
      <c r="E71" s="185">
        <v>1</v>
      </c>
      <c r="F71" s="186" t="e">
        <f>'DETAILED UNIT AREA TABULATION'!#REF!</f>
        <v>#REF!</v>
      </c>
      <c r="G71" s="186" t="e">
        <f>'DETAILED UNIT AREA TABULATION'!#REF!</f>
        <v>#REF!</v>
      </c>
      <c r="H71" s="187"/>
      <c r="I71" s="190" t="e">
        <f>'DETAILED UNIT AREA TABULATION'!#REF!</f>
        <v>#REF!</v>
      </c>
      <c r="J71" s="205" t="e">
        <f t="shared" ref="J71:J134" si="3">I71+G71+F71</f>
        <v>#REF!</v>
      </c>
      <c r="K71" s="188" t="e">
        <f>'DETAILED UNIT AREA TABULATION'!#REF!</f>
        <v>#REF!</v>
      </c>
      <c r="L71" s="191">
        <v>1</v>
      </c>
    </row>
    <row r="72" spans="1:12" ht="15" thickBot="1" x14ac:dyDescent="0.4">
      <c r="A72" s="184">
        <f t="shared" si="2"/>
        <v>67</v>
      </c>
      <c r="B72" s="11" t="s">
        <v>101</v>
      </c>
      <c r="C72" s="12">
        <v>13</v>
      </c>
      <c r="D72" s="155" t="s">
        <v>35</v>
      </c>
      <c r="E72" s="185">
        <v>1</v>
      </c>
      <c r="F72" s="186" t="e">
        <f>'DETAILED UNIT AREA TABULATION'!#REF!</f>
        <v>#REF!</v>
      </c>
      <c r="G72" s="186" t="e">
        <f>'DETAILED UNIT AREA TABULATION'!#REF!</f>
        <v>#REF!</v>
      </c>
      <c r="H72" s="187"/>
      <c r="I72" s="190" t="e">
        <f>'DETAILED UNIT AREA TABULATION'!#REF!</f>
        <v>#REF!</v>
      </c>
      <c r="J72" s="205" t="e">
        <f t="shared" si="3"/>
        <v>#REF!</v>
      </c>
      <c r="K72" s="188" t="e">
        <f>'DETAILED UNIT AREA TABULATION'!#REF!</f>
        <v>#REF!</v>
      </c>
      <c r="L72" s="191">
        <v>1</v>
      </c>
    </row>
    <row r="73" spans="1:12" ht="15" thickBot="1" x14ac:dyDescent="0.4">
      <c r="A73" s="184">
        <f t="shared" si="2"/>
        <v>68</v>
      </c>
      <c r="B73" s="11" t="s">
        <v>101</v>
      </c>
      <c r="C73" s="12">
        <v>14</v>
      </c>
      <c r="D73" s="155" t="s">
        <v>35</v>
      </c>
      <c r="E73" s="185">
        <v>1</v>
      </c>
      <c r="F73" s="186" t="e">
        <f>'DETAILED UNIT AREA TABULATION'!#REF!</f>
        <v>#REF!</v>
      </c>
      <c r="G73" s="186" t="e">
        <f>'DETAILED UNIT AREA TABULATION'!#REF!</f>
        <v>#REF!</v>
      </c>
      <c r="H73" s="187"/>
      <c r="I73" s="190" t="e">
        <f>'DETAILED UNIT AREA TABULATION'!#REF!</f>
        <v>#REF!</v>
      </c>
      <c r="J73" s="205" t="e">
        <f t="shared" si="3"/>
        <v>#REF!</v>
      </c>
      <c r="K73" s="188" t="e">
        <f>'DETAILED UNIT AREA TABULATION'!#REF!</f>
        <v>#REF!</v>
      </c>
      <c r="L73" s="191">
        <v>1</v>
      </c>
    </row>
    <row r="74" spans="1:12" ht="15" thickBot="1" x14ac:dyDescent="0.4">
      <c r="A74" s="184">
        <f t="shared" si="2"/>
        <v>69</v>
      </c>
      <c r="B74" s="11" t="s">
        <v>101</v>
      </c>
      <c r="C74" s="12">
        <v>15</v>
      </c>
      <c r="D74" s="155" t="s">
        <v>104</v>
      </c>
      <c r="E74" s="185">
        <v>1</v>
      </c>
      <c r="F74" s="186" t="e">
        <f>'DETAILED UNIT AREA TABULATION'!#REF!</f>
        <v>#REF!</v>
      </c>
      <c r="G74" s="186" t="e">
        <f>'DETAILED UNIT AREA TABULATION'!#REF!</f>
        <v>#REF!</v>
      </c>
      <c r="H74" s="187"/>
      <c r="I74" s="190" t="e">
        <f>'DETAILED UNIT AREA TABULATION'!#REF!</f>
        <v>#REF!</v>
      </c>
      <c r="J74" s="205" t="e">
        <f t="shared" si="3"/>
        <v>#REF!</v>
      </c>
      <c r="K74" s="188" t="e">
        <f>'DETAILED UNIT AREA TABULATION'!#REF!</f>
        <v>#REF!</v>
      </c>
      <c r="L74" s="191">
        <v>1</v>
      </c>
    </row>
    <row r="75" spans="1:12" ht="15" thickBot="1" x14ac:dyDescent="0.4">
      <c r="A75" s="184">
        <f t="shared" si="2"/>
        <v>70</v>
      </c>
      <c r="B75" s="11" t="s">
        <v>101</v>
      </c>
      <c r="C75" s="12">
        <v>16</v>
      </c>
      <c r="D75" s="155" t="s">
        <v>104</v>
      </c>
      <c r="E75" s="185">
        <v>1</v>
      </c>
      <c r="F75" s="186" t="e">
        <f>'DETAILED UNIT AREA TABULATION'!#REF!</f>
        <v>#REF!</v>
      </c>
      <c r="G75" s="186" t="e">
        <f>'DETAILED UNIT AREA TABULATION'!#REF!</f>
        <v>#REF!</v>
      </c>
      <c r="H75" s="187"/>
      <c r="I75" s="190" t="e">
        <f>'DETAILED UNIT AREA TABULATION'!#REF!</f>
        <v>#REF!</v>
      </c>
      <c r="J75" s="205" t="e">
        <f t="shared" si="3"/>
        <v>#REF!</v>
      </c>
      <c r="K75" s="188" t="e">
        <f>'DETAILED UNIT AREA TABULATION'!#REF!</f>
        <v>#REF!</v>
      </c>
      <c r="L75" s="191">
        <v>1</v>
      </c>
    </row>
    <row r="76" spans="1:12" ht="15" thickBot="1" x14ac:dyDescent="0.4">
      <c r="A76" s="184">
        <f t="shared" si="2"/>
        <v>71</v>
      </c>
      <c r="B76" s="11" t="s">
        <v>101</v>
      </c>
      <c r="C76" s="12">
        <v>17</v>
      </c>
      <c r="D76" s="172" t="s">
        <v>33</v>
      </c>
      <c r="E76" s="185">
        <v>1</v>
      </c>
      <c r="F76" s="186" t="e">
        <f>'DETAILED UNIT AREA TABULATION'!#REF!</f>
        <v>#REF!</v>
      </c>
      <c r="G76" s="186" t="e">
        <f>'DETAILED UNIT AREA TABULATION'!#REF!</f>
        <v>#REF!</v>
      </c>
      <c r="H76" s="187"/>
      <c r="I76" s="190" t="e">
        <f>'DETAILED UNIT AREA TABULATION'!#REF!</f>
        <v>#REF!</v>
      </c>
      <c r="J76" s="205" t="e">
        <f t="shared" si="3"/>
        <v>#REF!</v>
      </c>
      <c r="K76" s="188" t="e">
        <f>'DETAILED UNIT AREA TABULATION'!#REF!</f>
        <v>#REF!</v>
      </c>
      <c r="L76" s="191">
        <v>1</v>
      </c>
    </row>
    <row r="77" spans="1:12" ht="15" thickBot="1" x14ac:dyDescent="0.4">
      <c r="A77" s="184">
        <f t="shared" si="2"/>
        <v>72</v>
      </c>
      <c r="B77" s="11" t="s">
        <v>101</v>
      </c>
      <c r="C77" s="12">
        <v>18</v>
      </c>
      <c r="D77" s="156" t="s">
        <v>33</v>
      </c>
      <c r="E77" s="173">
        <v>1</v>
      </c>
      <c r="F77" s="186" t="e">
        <f>'DETAILED UNIT AREA TABULATION'!#REF!</f>
        <v>#REF!</v>
      </c>
      <c r="G77" s="186" t="e">
        <f>'DETAILED UNIT AREA TABULATION'!#REF!</f>
        <v>#REF!</v>
      </c>
      <c r="H77" s="192"/>
      <c r="I77" s="193" t="e">
        <f>'DETAILED UNIT AREA TABULATION'!#REF!</f>
        <v>#REF!</v>
      </c>
      <c r="J77" s="206" t="e">
        <f t="shared" si="3"/>
        <v>#REF!</v>
      </c>
      <c r="K77" s="188" t="e">
        <f>'DETAILED UNIT AREA TABULATION'!#REF!</f>
        <v>#REF!</v>
      </c>
      <c r="L77" s="191">
        <v>1</v>
      </c>
    </row>
    <row r="78" spans="1:12" ht="15" thickBot="1" x14ac:dyDescent="0.4">
      <c r="A78" s="184">
        <f t="shared" ref="A78:A141" si="4">A77+1</f>
        <v>73</v>
      </c>
      <c r="B78" s="11" t="s">
        <v>101</v>
      </c>
      <c r="C78" s="12">
        <v>21</v>
      </c>
      <c r="D78" s="154" t="s">
        <v>35</v>
      </c>
      <c r="E78" s="185">
        <v>2</v>
      </c>
      <c r="F78" s="186" t="e">
        <f>'DETAILED UNIT AREA TABULATION'!#REF!</f>
        <v>#REF!</v>
      </c>
      <c r="G78" s="186" t="e">
        <f>'DETAILED UNIT AREA TABULATION'!#REF!</f>
        <v>#REF!</v>
      </c>
      <c r="H78" s="187"/>
      <c r="I78" s="190" t="e">
        <f>'DETAILED UNIT AREA TABULATION'!#REF!</f>
        <v>#REF!</v>
      </c>
      <c r="J78" s="205" t="e">
        <f t="shared" si="3"/>
        <v>#REF!</v>
      </c>
      <c r="K78" s="188" t="e">
        <f>'DETAILED UNIT AREA TABULATION'!#REF!</f>
        <v>#REF!</v>
      </c>
      <c r="L78" s="191">
        <v>1</v>
      </c>
    </row>
    <row r="79" spans="1:12" ht="15" thickBot="1" x14ac:dyDescent="0.4">
      <c r="A79" s="184">
        <f t="shared" si="4"/>
        <v>74</v>
      </c>
      <c r="B79" s="11" t="s">
        <v>101</v>
      </c>
      <c r="C79" s="12">
        <v>22</v>
      </c>
      <c r="D79" s="155" t="s">
        <v>35</v>
      </c>
      <c r="E79" s="185">
        <v>2</v>
      </c>
      <c r="F79" s="186" t="e">
        <f>'DETAILED UNIT AREA TABULATION'!#REF!</f>
        <v>#REF!</v>
      </c>
      <c r="G79" s="186" t="e">
        <f>'DETAILED UNIT AREA TABULATION'!#REF!</f>
        <v>#REF!</v>
      </c>
      <c r="H79" s="187"/>
      <c r="I79" s="190" t="e">
        <f>'DETAILED UNIT AREA TABULATION'!#REF!</f>
        <v>#REF!</v>
      </c>
      <c r="J79" s="205" t="e">
        <f t="shared" si="3"/>
        <v>#REF!</v>
      </c>
      <c r="K79" s="188" t="e">
        <f>'DETAILED UNIT AREA TABULATION'!#REF!</f>
        <v>#REF!</v>
      </c>
      <c r="L79" s="191">
        <v>1</v>
      </c>
    </row>
    <row r="80" spans="1:12" ht="15" thickBot="1" x14ac:dyDescent="0.4">
      <c r="A80" s="184">
        <f t="shared" si="4"/>
        <v>75</v>
      </c>
      <c r="B80" s="11" t="s">
        <v>101</v>
      </c>
      <c r="C80" s="12">
        <v>23</v>
      </c>
      <c r="D80" s="155" t="s">
        <v>35</v>
      </c>
      <c r="E80" s="185">
        <v>2</v>
      </c>
      <c r="F80" s="186" t="e">
        <f>'DETAILED UNIT AREA TABULATION'!#REF!</f>
        <v>#REF!</v>
      </c>
      <c r="G80" s="186" t="e">
        <f>'DETAILED UNIT AREA TABULATION'!#REF!</f>
        <v>#REF!</v>
      </c>
      <c r="H80" s="187"/>
      <c r="I80" s="190" t="e">
        <f>'DETAILED UNIT AREA TABULATION'!#REF!</f>
        <v>#REF!</v>
      </c>
      <c r="J80" s="205" t="e">
        <f t="shared" si="3"/>
        <v>#REF!</v>
      </c>
      <c r="K80" s="188" t="e">
        <f>'DETAILED UNIT AREA TABULATION'!#REF!</f>
        <v>#REF!</v>
      </c>
      <c r="L80" s="191">
        <v>1</v>
      </c>
    </row>
    <row r="81" spans="1:12" ht="15" thickBot="1" x14ac:dyDescent="0.4">
      <c r="A81" s="184">
        <f t="shared" si="4"/>
        <v>76</v>
      </c>
      <c r="B81" s="11" t="s">
        <v>101</v>
      </c>
      <c r="C81" s="12">
        <v>24</v>
      </c>
      <c r="D81" s="155" t="s">
        <v>35</v>
      </c>
      <c r="E81" s="185">
        <v>2</v>
      </c>
      <c r="F81" s="186" t="e">
        <f>'DETAILED UNIT AREA TABULATION'!#REF!</f>
        <v>#REF!</v>
      </c>
      <c r="G81" s="186" t="e">
        <f>'DETAILED UNIT AREA TABULATION'!#REF!</f>
        <v>#REF!</v>
      </c>
      <c r="H81" s="187"/>
      <c r="I81" s="190" t="e">
        <f>'DETAILED UNIT AREA TABULATION'!#REF!</f>
        <v>#REF!</v>
      </c>
      <c r="J81" s="205" t="e">
        <f t="shared" si="3"/>
        <v>#REF!</v>
      </c>
      <c r="K81" s="188" t="e">
        <f>'DETAILED UNIT AREA TABULATION'!#REF!</f>
        <v>#REF!</v>
      </c>
      <c r="L81" s="191">
        <v>1</v>
      </c>
    </row>
    <row r="82" spans="1:12" ht="15" thickBot="1" x14ac:dyDescent="0.4">
      <c r="A82" s="184">
        <f t="shared" si="4"/>
        <v>77</v>
      </c>
      <c r="B82" s="11" t="s">
        <v>101</v>
      </c>
      <c r="C82" s="12">
        <v>25</v>
      </c>
      <c r="D82" s="155" t="s">
        <v>104</v>
      </c>
      <c r="E82" s="185">
        <v>2</v>
      </c>
      <c r="F82" s="186" t="e">
        <f>'DETAILED UNIT AREA TABULATION'!#REF!</f>
        <v>#REF!</v>
      </c>
      <c r="G82" s="186" t="e">
        <f>'DETAILED UNIT AREA TABULATION'!#REF!</f>
        <v>#REF!</v>
      </c>
      <c r="H82" s="187"/>
      <c r="I82" s="190" t="e">
        <f>'DETAILED UNIT AREA TABULATION'!#REF!</f>
        <v>#REF!</v>
      </c>
      <c r="J82" s="205" t="e">
        <f t="shared" si="3"/>
        <v>#REF!</v>
      </c>
      <c r="K82" s="188" t="e">
        <f>'DETAILED UNIT AREA TABULATION'!#REF!</f>
        <v>#REF!</v>
      </c>
      <c r="L82" s="191">
        <v>1</v>
      </c>
    </row>
    <row r="83" spans="1:12" ht="15" thickBot="1" x14ac:dyDescent="0.4">
      <c r="A83" s="184">
        <f t="shared" si="4"/>
        <v>78</v>
      </c>
      <c r="B83" s="11" t="s">
        <v>101</v>
      </c>
      <c r="C83" s="12">
        <v>26</v>
      </c>
      <c r="D83" s="155" t="s">
        <v>104</v>
      </c>
      <c r="E83" s="185">
        <v>2</v>
      </c>
      <c r="F83" s="186" t="e">
        <f>'DETAILED UNIT AREA TABULATION'!#REF!</f>
        <v>#REF!</v>
      </c>
      <c r="G83" s="186" t="e">
        <f>'DETAILED UNIT AREA TABULATION'!#REF!</f>
        <v>#REF!</v>
      </c>
      <c r="H83" s="187"/>
      <c r="I83" s="190" t="e">
        <f>'DETAILED UNIT AREA TABULATION'!#REF!</f>
        <v>#REF!</v>
      </c>
      <c r="J83" s="205" t="e">
        <f t="shared" si="3"/>
        <v>#REF!</v>
      </c>
      <c r="K83" s="188" t="e">
        <f>'DETAILED UNIT AREA TABULATION'!#REF!</f>
        <v>#REF!</v>
      </c>
      <c r="L83" s="191">
        <v>1</v>
      </c>
    </row>
    <row r="84" spans="1:12" ht="15" thickBot="1" x14ac:dyDescent="0.4">
      <c r="A84" s="184">
        <f t="shared" si="4"/>
        <v>79</v>
      </c>
      <c r="B84" s="11" t="s">
        <v>101</v>
      </c>
      <c r="C84" s="12">
        <v>27</v>
      </c>
      <c r="D84" s="172" t="s">
        <v>33</v>
      </c>
      <c r="E84" s="185">
        <v>2</v>
      </c>
      <c r="F84" s="186" t="e">
        <f>'DETAILED UNIT AREA TABULATION'!#REF!</f>
        <v>#REF!</v>
      </c>
      <c r="G84" s="186" t="e">
        <f>'DETAILED UNIT AREA TABULATION'!#REF!</f>
        <v>#REF!</v>
      </c>
      <c r="H84" s="187"/>
      <c r="I84" s="190" t="e">
        <f>'DETAILED UNIT AREA TABULATION'!#REF!</f>
        <v>#REF!</v>
      </c>
      <c r="J84" s="205" t="e">
        <f t="shared" si="3"/>
        <v>#REF!</v>
      </c>
      <c r="K84" s="188" t="e">
        <f>'DETAILED UNIT AREA TABULATION'!#REF!</f>
        <v>#REF!</v>
      </c>
      <c r="L84" s="191">
        <v>1</v>
      </c>
    </row>
    <row r="85" spans="1:12" ht="15" thickBot="1" x14ac:dyDescent="0.4">
      <c r="A85" s="184">
        <f t="shared" si="4"/>
        <v>80</v>
      </c>
      <c r="B85" s="11" t="s">
        <v>101</v>
      </c>
      <c r="C85" s="12">
        <v>28</v>
      </c>
      <c r="D85" s="156" t="s">
        <v>33</v>
      </c>
      <c r="E85" s="173">
        <v>2</v>
      </c>
      <c r="F85" s="186" t="e">
        <f>'DETAILED UNIT AREA TABULATION'!#REF!</f>
        <v>#REF!</v>
      </c>
      <c r="G85" s="186" t="e">
        <f>'DETAILED UNIT AREA TABULATION'!#REF!</f>
        <v>#REF!</v>
      </c>
      <c r="H85" s="192"/>
      <c r="I85" s="193" t="e">
        <f>'DETAILED UNIT AREA TABULATION'!#REF!</f>
        <v>#REF!</v>
      </c>
      <c r="J85" s="206" t="e">
        <f t="shared" si="3"/>
        <v>#REF!</v>
      </c>
      <c r="K85" s="188" t="e">
        <f>'DETAILED UNIT AREA TABULATION'!#REF!</f>
        <v>#REF!</v>
      </c>
      <c r="L85" s="191">
        <v>1</v>
      </c>
    </row>
    <row r="86" spans="1:12" ht="15" thickBot="1" x14ac:dyDescent="0.4">
      <c r="A86" s="184">
        <f t="shared" si="4"/>
        <v>81</v>
      </c>
      <c r="B86" s="11" t="s">
        <v>101</v>
      </c>
      <c r="C86" s="12">
        <v>31</v>
      </c>
      <c r="D86" s="154" t="s">
        <v>35</v>
      </c>
      <c r="E86" s="185">
        <v>3</v>
      </c>
      <c r="F86" s="186" t="e">
        <f>'DETAILED UNIT AREA TABULATION'!#REF!</f>
        <v>#REF!</v>
      </c>
      <c r="G86" s="186" t="e">
        <f>'DETAILED UNIT AREA TABULATION'!#REF!</f>
        <v>#REF!</v>
      </c>
      <c r="H86" s="187"/>
      <c r="I86" s="190" t="e">
        <f>'DETAILED UNIT AREA TABULATION'!#REF!</f>
        <v>#REF!</v>
      </c>
      <c r="J86" s="205" t="e">
        <f t="shared" si="3"/>
        <v>#REF!</v>
      </c>
      <c r="K86" s="188" t="e">
        <f>'DETAILED UNIT AREA TABULATION'!#REF!</f>
        <v>#REF!</v>
      </c>
      <c r="L86" s="191">
        <v>1</v>
      </c>
    </row>
    <row r="87" spans="1:12" ht="15" thickBot="1" x14ac:dyDescent="0.4">
      <c r="A87" s="184">
        <f t="shared" si="4"/>
        <v>82</v>
      </c>
      <c r="B87" s="11" t="s">
        <v>101</v>
      </c>
      <c r="C87" s="12">
        <v>32</v>
      </c>
      <c r="D87" s="155" t="s">
        <v>35</v>
      </c>
      <c r="E87" s="185">
        <v>3</v>
      </c>
      <c r="F87" s="186" t="e">
        <f>'DETAILED UNIT AREA TABULATION'!#REF!</f>
        <v>#REF!</v>
      </c>
      <c r="G87" s="186" t="e">
        <f>'DETAILED UNIT AREA TABULATION'!#REF!</f>
        <v>#REF!</v>
      </c>
      <c r="H87" s="187"/>
      <c r="I87" s="190" t="e">
        <f>'DETAILED UNIT AREA TABULATION'!#REF!</f>
        <v>#REF!</v>
      </c>
      <c r="J87" s="205" t="e">
        <f t="shared" si="3"/>
        <v>#REF!</v>
      </c>
      <c r="K87" s="188" t="e">
        <f>'DETAILED UNIT AREA TABULATION'!#REF!</f>
        <v>#REF!</v>
      </c>
      <c r="L87" s="191">
        <v>1</v>
      </c>
    </row>
    <row r="88" spans="1:12" ht="15" thickBot="1" x14ac:dyDescent="0.4">
      <c r="A88" s="184">
        <f t="shared" si="4"/>
        <v>83</v>
      </c>
      <c r="B88" s="11" t="s">
        <v>101</v>
      </c>
      <c r="C88" s="12">
        <v>33</v>
      </c>
      <c r="D88" s="155" t="s">
        <v>35</v>
      </c>
      <c r="E88" s="185">
        <v>3</v>
      </c>
      <c r="F88" s="186" t="e">
        <f>'DETAILED UNIT AREA TABULATION'!#REF!</f>
        <v>#REF!</v>
      </c>
      <c r="G88" s="186" t="e">
        <f>'DETAILED UNIT AREA TABULATION'!#REF!</f>
        <v>#REF!</v>
      </c>
      <c r="H88" s="187"/>
      <c r="I88" s="190" t="e">
        <f>'DETAILED UNIT AREA TABULATION'!#REF!</f>
        <v>#REF!</v>
      </c>
      <c r="J88" s="205" t="e">
        <f t="shared" si="3"/>
        <v>#REF!</v>
      </c>
      <c r="K88" s="188" t="e">
        <f>'DETAILED UNIT AREA TABULATION'!#REF!</f>
        <v>#REF!</v>
      </c>
      <c r="L88" s="191">
        <v>1</v>
      </c>
    </row>
    <row r="89" spans="1:12" ht="15" thickBot="1" x14ac:dyDescent="0.4">
      <c r="A89" s="184">
        <f t="shared" si="4"/>
        <v>84</v>
      </c>
      <c r="B89" s="11" t="s">
        <v>101</v>
      </c>
      <c r="C89" s="12">
        <v>34</v>
      </c>
      <c r="D89" s="155" t="s">
        <v>35</v>
      </c>
      <c r="E89" s="185">
        <v>3</v>
      </c>
      <c r="F89" s="186" t="e">
        <f>'DETAILED UNIT AREA TABULATION'!#REF!</f>
        <v>#REF!</v>
      </c>
      <c r="G89" s="186" t="e">
        <f>'DETAILED UNIT AREA TABULATION'!#REF!</f>
        <v>#REF!</v>
      </c>
      <c r="H89" s="187"/>
      <c r="I89" s="190" t="e">
        <f>'DETAILED UNIT AREA TABULATION'!#REF!</f>
        <v>#REF!</v>
      </c>
      <c r="J89" s="205" t="e">
        <f t="shared" si="3"/>
        <v>#REF!</v>
      </c>
      <c r="K89" s="188" t="e">
        <f>'DETAILED UNIT AREA TABULATION'!#REF!</f>
        <v>#REF!</v>
      </c>
      <c r="L89" s="191">
        <v>1</v>
      </c>
    </row>
    <row r="90" spans="1:12" ht="15" thickBot="1" x14ac:dyDescent="0.4">
      <c r="A90" s="184">
        <f t="shared" si="4"/>
        <v>85</v>
      </c>
      <c r="B90" s="11" t="s">
        <v>101</v>
      </c>
      <c r="C90" s="12">
        <v>35</v>
      </c>
      <c r="D90" s="155" t="s">
        <v>104</v>
      </c>
      <c r="E90" s="185">
        <v>3</v>
      </c>
      <c r="F90" s="186" t="e">
        <f>'DETAILED UNIT AREA TABULATION'!#REF!</f>
        <v>#REF!</v>
      </c>
      <c r="G90" s="186" t="e">
        <f>'DETAILED UNIT AREA TABULATION'!#REF!</f>
        <v>#REF!</v>
      </c>
      <c r="H90" s="187"/>
      <c r="I90" s="190" t="e">
        <f>'DETAILED UNIT AREA TABULATION'!#REF!</f>
        <v>#REF!</v>
      </c>
      <c r="J90" s="205" t="e">
        <f t="shared" si="3"/>
        <v>#REF!</v>
      </c>
      <c r="K90" s="188" t="e">
        <f>'DETAILED UNIT AREA TABULATION'!#REF!</f>
        <v>#REF!</v>
      </c>
      <c r="L90" s="191">
        <v>1</v>
      </c>
    </row>
    <row r="91" spans="1:12" ht="15" thickBot="1" x14ac:dyDescent="0.4">
      <c r="A91" s="184">
        <f t="shared" si="4"/>
        <v>86</v>
      </c>
      <c r="B91" s="11" t="s">
        <v>101</v>
      </c>
      <c r="C91" s="12">
        <v>36</v>
      </c>
      <c r="D91" s="155" t="s">
        <v>104</v>
      </c>
      <c r="E91" s="185">
        <v>3</v>
      </c>
      <c r="F91" s="186" t="e">
        <f>'DETAILED UNIT AREA TABULATION'!#REF!</f>
        <v>#REF!</v>
      </c>
      <c r="G91" s="186" t="e">
        <f>'DETAILED UNIT AREA TABULATION'!#REF!</f>
        <v>#REF!</v>
      </c>
      <c r="H91" s="187"/>
      <c r="I91" s="190" t="e">
        <f>'DETAILED UNIT AREA TABULATION'!#REF!</f>
        <v>#REF!</v>
      </c>
      <c r="J91" s="205" t="e">
        <f t="shared" si="3"/>
        <v>#REF!</v>
      </c>
      <c r="K91" s="188" t="e">
        <f>'DETAILED UNIT AREA TABULATION'!#REF!</f>
        <v>#REF!</v>
      </c>
      <c r="L91" s="191">
        <v>1</v>
      </c>
    </row>
    <row r="92" spans="1:12" ht="15" thickBot="1" x14ac:dyDescent="0.4">
      <c r="A92" s="184">
        <f t="shared" si="4"/>
        <v>87</v>
      </c>
      <c r="B92" s="11" t="s">
        <v>101</v>
      </c>
      <c r="C92" s="12">
        <v>37</v>
      </c>
      <c r="D92" s="172" t="s">
        <v>33</v>
      </c>
      <c r="E92" s="185">
        <v>3</v>
      </c>
      <c r="F92" s="186" t="e">
        <f>'DETAILED UNIT AREA TABULATION'!#REF!</f>
        <v>#REF!</v>
      </c>
      <c r="G92" s="186" t="e">
        <f>'DETAILED UNIT AREA TABULATION'!#REF!</f>
        <v>#REF!</v>
      </c>
      <c r="H92" s="187"/>
      <c r="I92" s="190" t="e">
        <f>'DETAILED UNIT AREA TABULATION'!#REF!</f>
        <v>#REF!</v>
      </c>
      <c r="J92" s="205" t="e">
        <f t="shared" si="3"/>
        <v>#REF!</v>
      </c>
      <c r="K92" s="188" t="e">
        <f>'DETAILED UNIT AREA TABULATION'!#REF!</f>
        <v>#REF!</v>
      </c>
      <c r="L92" s="191">
        <v>1</v>
      </c>
    </row>
    <row r="93" spans="1:12" ht="15" thickBot="1" x14ac:dyDescent="0.4">
      <c r="A93" s="184">
        <f t="shared" si="4"/>
        <v>88</v>
      </c>
      <c r="B93" s="11" t="s">
        <v>101</v>
      </c>
      <c r="C93" s="12">
        <v>38</v>
      </c>
      <c r="D93" s="156" t="s">
        <v>33</v>
      </c>
      <c r="E93" s="173">
        <v>3</v>
      </c>
      <c r="F93" s="186" t="e">
        <f>'DETAILED UNIT AREA TABULATION'!#REF!</f>
        <v>#REF!</v>
      </c>
      <c r="G93" s="186" t="e">
        <f>'DETAILED UNIT AREA TABULATION'!#REF!</f>
        <v>#REF!</v>
      </c>
      <c r="H93" s="192"/>
      <c r="I93" s="193" t="e">
        <f>'DETAILED UNIT AREA TABULATION'!#REF!</f>
        <v>#REF!</v>
      </c>
      <c r="J93" s="206" t="e">
        <f t="shared" si="3"/>
        <v>#REF!</v>
      </c>
      <c r="K93" s="188" t="e">
        <f>'DETAILED UNIT AREA TABULATION'!#REF!</f>
        <v>#REF!</v>
      </c>
      <c r="L93" s="191">
        <v>1</v>
      </c>
    </row>
    <row r="94" spans="1:12" ht="15" thickBot="1" x14ac:dyDescent="0.4">
      <c r="A94" s="184">
        <f t="shared" si="4"/>
        <v>89</v>
      </c>
      <c r="B94" s="11" t="s">
        <v>101</v>
      </c>
      <c r="C94" s="12">
        <v>41</v>
      </c>
      <c r="D94" s="154" t="s">
        <v>35</v>
      </c>
      <c r="E94" s="185">
        <v>4</v>
      </c>
      <c r="F94" s="186" t="e">
        <f>'DETAILED UNIT AREA TABULATION'!#REF!</f>
        <v>#REF!</v>
      </c>
      <c r="G94" s="186" t="e">
        <f>'DETAILED UNIT AREA TABULATION'!#REF!</f>
        <v>#REF!</v>
      </c>
      <c r="H94" s="187"/>
      <c r="I94" s="190" t="e">
        <f>'DETAILED UNIT AREA TABULATION'!#REF!</f>
        <v>#REF!</v>
      </c>
      <c r="J94" s="205" t="e">
        <f t="shared" si="3"/>
        <v>#REF!</v>
      </c>
      <c r="K94" s="188" t="e">
        <f>'DETAILED UNIT AREA TABULATION'!#REF!</f>
        <v>#REF!</v>
      </c>
      <c r="L94" s="191">
        <v>1</v>
      </c>
    </row>
    <row r="95" spans="1:12" ht="15" thickBot="1" x14ac:dyDescent="0.4">
      <c r="A95" s="184">
        <f t="shared" si="4"/>
        <v>90</v>
      </c>
      <c r="B95" s="11" t="s">
        <v>101</v>
      </c>
      <c r="C95" s="12">
        <v>42</v>
      </c>
      <c r="D95" s="155" t="s">
        <v>35</v>
      </c>
      <c r="E95" s="185">
        <v>4</v>
      </c>
      <c r="F95" s="186" t="e">
        <f>'DETAILED UNIT AREA TABULATION'!#REF!</f>
        <v>#REF!</v>
      </c>
      <c r="G95" s="186" t="e">
        <f>'DETAILED UNIT AREA TABULATION'!#REF!</f>
        <v>#REF!</v>
      </c>
      <c r="H95" s="187"/>
      <c r="I95" s="190" t="e">
        <f>'DETAILED UNIT AREA TABULATION'!#REF!</f>
        <v>#REF!</v>
      </c>
      <c r="J95" s="205" t="e">
        <f t="shared" si="3"/>
        <v>#REF!</v>
      </c>
      <c r="K95" s="188" t="e">
        <f>'DETAILED UNIT AREA TABULATION'!#REF!</f>
        <v>#REF!</v>
      </c>
      <c r="L95" s="191">
        <v>1</v>
      </c>
    </row>
    <row r="96" spans="1:12" ht="15" thickBot="1" x14ac:dyDescent="0.4">
      <c r="A96" s="184">
        <f t="shared" si="4"/>
        <v>91</v>
      </c>
      <c r="B96" s="11" t="s">
        <v>101</v>
      </c>
      <c r="C96" s="12">
        <v>43</v>
      </c>
      <c r="D96" s="155" t="s">
        <v>35</v>
      </c>
      <c r="E96" s="185">
        <v>4</v>
      </c>
      <c r="F96" s="186" t="e">
        <f>'DETAILED UNIT AREA TABULATION'!#REF!</f>
        <v>#REF!</v>
      </c>
      <c r="G96" s="186" t="e">
        <f>'DETAILED UNIT AREA TABULATION'!#REF!</f>
        <v>#REF!</v>
      </c>
      <c r="H96" s="187"/>
      <c r="I96" s="190" t="e">
        <f>'DETAILED UNIT AREA TABULATION'!#REF!</f>
        <v>#REF!</v>
      </c>
      <c r="J96" s="205" t="e">
        <f t="shared" si="3"/>
        <v>#REF!</v>
      </c>
      <c r="K96" s="188" t="e">
        <f>'DETAILED UNIT AREA TABULATION'!#REF!</f>
        <v>#REF!</v>
      </c>
      <c r="L96" s="191">
        <v>1</v>
      </c>
    </row>
    <row r="97" spans="1:12" ht="15" thickBot="1" x14ac:dyDescent="0.4">
      <c r="A97" s="184">
        <f t="shared" si="4"/>
        <v>92</v>
      </c>
      <c r="B97" s="11" t="s">
        <v>101</v>
      </c>
      <c r="C97" s="12">
        <v>44</v>
      </c>
      <c r="D97" s="155" t="s">
        <v>35</v>
      </c>
      <c r="E97" s="185">
        <v>4</v>
      </c>
      <c r="F97" s="186" t="e">
        <f>'DETAILED UNIT AREA TABULATION'!#REF!</f>
        <v>#REF!</v>
      </c>
      <c r="G97" s="186" t="e">
        <f>'DETAILED UNIT AREA TABULATION'!#REF!</f>
        <v>#REF!</v>
      </c>
      <c r="H97" s="187"/>
      <c r="I97" s="190" t="e">
        <f>'DETAILED UNIT AREA TABULATION'!#REF!</f>
        <v>#REF!</v>
      </c>
      <c r="J97" s="205" t="e">
        <f t="shared" si="3"/>
        <v>#REF!</v>
      </c>
      <c r="K97" s="188" t="e">
        <f>'DETAILED UNIT AREA TABULATION'!#REF!</f>
        <v>#REF!</v>
      </c>
      <c r="L97" s="191">
        <v>1</v>
      </c>
    </row>
    <row r="98" spans="1:12" ht="15" thickBot="1" x14ac:dyDescent="0.4">
      <c r="A98" s="184">
        <f t="shared" si="4"/>
        <v>93</v>
      </c>
      <c r="B98" s="11" t="s">
        <v>101</v>
      </c>
      <c r="C98" s="12">
        <v>45</v>
      </c>
      <c r="D98" s="155" t="s">
        <v>104</v>
      </c>
      <c r="E98" s="185">
        <v>4</v>
      </c>
      <c r="F98" s="186" t="e">
        <f>'DETAILED UNIT AREA TABULATION'!#REF!</f>
        <v>#REF!</v>
      </c>
      <c r="G98" s="186" t="e">
        <f>'DETAILED UNIT AREA TABULATION'!#REF!</f>
        <v>#REF!</v>
      </c>
      <c r="H98" s="187"/>
      <c r="I98" s="190" t="e">
        <f>'DETAILED UNIT AREA TABULATION'!#REF!</f>
        <v>#REF!</v>
      </c>
      <c r="J98" s="205" t="e">
        <f t="shared" si="3"/>
        <v>#REF!</v>
      </c>
      <c r="K98" s="188" t="e">
        <f>'DETAILED UNIT AREA TABULATION'!#REF!</f>
        <v>#REF!</v>
      </c>
      <c r="L98" s="191">
        <v>1</v>
      </c>
    </row>
    <row r="99" spans="1:12" ht="15" thickBot="1" x14ac:dyDescent="0.4">
      <c r="A99" s="184">
        <f t="shared" si="4"/>
        <v>94</v>
      </c>
      <c r="B99" s="11" t="s">
        <v>101</v>
      </c>
      <c r="C99" s="12">
        <v>46</v>
      </c>
      <c r="D99" s="155" t="s">
        <v>104</v>
      </c>
      <c r="E99" s="185">
        <v>4</v>
      </c>
      <c r="F99" s="186" t="e">
        <f>'DETAILED UNIT AREA TABULATION'!#REF!</f>
        <v>#REF!</v>
      </c>
      <c r="G99" s="186" t="e">
        <f>'DETAILED UNIT AREA TABULATION'!#REF!</f>
        <v>#REF!</v>
      </c>
      <c r="H99" s="187"/>
      <c r="I99" s="190" t="e">
        <f>'DETAILED UNIT AREA TABULATION'!#REF!</f>
        <v>#REF!</v>
      </c>
      <c r="J99" s="205" t="e">
        <f t="shared" si="3"/>
        <v>#REF!</v>
      </c>
      <c r="K99" s="188" t="e">
        <f>'DETAILED UNIT AREA TABULATION'!#REF!</f>
        <v>#REF!</v>
      </c>
      <c r="L99" s="191">
        <v>1</v>
      </c>
    </row>
    <row r="100" spans="1:12" ht="15" thickBot="1" x14ac:dyDescent="0.4">
      <c r="A100" s="184">
        <f t="shared" si="4"/>
        <v>95</v>
      </c>
      <c r="B100" s="11" t="s">
        <v>101</v>
      </c>
      <c r="C100" s="12">
        <v>47</v>
      </c>
      <c r="D100" s="172" t="s">
        <v>33</v>
      </c>
      <c r="E100" s="185">
        <v>4</v>
      </c>
      <c r="F100" s="186" t="e">
        <f>'DETAILED UNIT AREA TABULATION'!#REF!</f>
        <v>#REF!</v>
      </c>
      <c r="G100" s="186" t="e">
        <f>'DETAILED UNIT AREA TABULATION'!#REF!</f>
        <v>#REF!</v>
      </c>
      <c r="H100" s="187"/>
      <c r="I100" s="190" t="e">
        <f>'DETAILED UNIT AREA TABULATION'!#REF!</f>
        <v>#REF!</v>
      </c>
      <c r="J100" s="205" t="e">
        <f t="shared" si="3"/>
        <v>#REF!</v>
      </c>
      <c r="K100" s="188" t="e">
        <f>'DETAILED UNIT AREA TABULATION'!#REF!</f>
        <v>#REF!</v>
      </c>
      <c r="L100" s="191">
        <v>1</v>
      </c>
    </row>
    <row r="101" spans="1:12" ht="15" thickBot="1" x14ac:dyDescent="0.4">
      <c r="A101" s="184">
        <f t="shared" si="4"/>
        <v>96</v>
      </c>
      <c r="B101" s="11" t="s">
        <v>101</v>
      </c>
      <c r="C101" s="12">
        <v>48</v>
      </c>
      <c r="D101" s="156" t="s">
        <v>33</v>
      </c>
      <c r="E101" s="173">
        <v>4</v>
      </c>
      <c r="F101" s="186" t="e">
        <f>'DETAILED UNIT AREA TABULATION'!#REF!</f>
        <v>#REF!</v>
      </c>
      <c r="G101" s="186" t="e">
        <f>'DETAILED UNIT AREA TABULATION'!#REF!</f>
        <v>#REF!</v>
      </c>
      <c r="H101" s="192"/>
      <c r="I101" s="193" t="e">
        <f>'DETAILED UNIT AREA TABULATION'!#REF!</f>
        <v>#REF!</v>
      </c>
      <c r="J101" s="206" t="e">
        <f t="shared" si="3"/>
        <v>#REF!</v>
      </c>
      <c r="K101" s="188" t="e">
        <f>'DETAILED UNIT AREA TABULATION'!#REF!</f>
        <v>#REF!</v>
      </c>
      <c r="L101" s="191">
        <v>1</v>
      </c>
    </row>
    <row r="102" spans="1:12" ht="15" thickBot="1" x14ac:dyDescent="0.4">
      <c r="A102" s="184">
        <f t="shared" si="4"/>
        <v>97</v>
      </c>
      <c r="B102" s="11" t="s">
        <v>101</v>
      </c>
      <c r="C102" s="12">
        <v>51</v>
      </c>
      <c r="D102" s="154" t="s">
        <v>35</v>
      </c>
      <c r="E102" s="185">
        <v>5</v>
      </c>
      <c r="F102" s="186" t="e">
        <f>'DETAILED UNIT AREA TABULATION'!#REF!</f>
        <v>#REF!</v>
      </c>
      <c r="G102" s="186" t="e">
        <f>'DETAILED UNIT AREA TABULATION'!#REF!</f>
        <v>#REF!</v>
      </c>
      <c r="H102" s="187"/>
      <c r="I102" s="190" t="e">
        <f>'DETAILED UNIT AREA TABULATION'!#REF!</f>
        <v>#REF!</v>
      </c>
      <c r="J102" s="205" t="e">
        <f t="shared" si="3"/>
        <v>#REF!</v>
      </c>
      <c r="K102" s="188" t="e">
        <f>'DETAILED UNIT AREA TABULATION'!#REF!</f>
        <v>#REF!</v>
      </c>
      <c r="L102" s="191">
        <v>1</v>
      </c>
    </row>
    <row r="103" spans="1:12" ht="15" thickBot="1" x14ac:dyDescent="0.4">
      <c r="A103" s="184">
        <f t="shared" si="4"/>
        <v>98</v>
      </c>
      <c r="B103" s="11" t="s">
        <v>101</v>
      </c>
      <c r="C103" s="12">
        <v>52</v>
      </c>
      <c r="D103" s="155" t="s">
        <v>35</v>
      </c>
      <c r="E103" s="185">
        <v>5</v>
      </c>
      <c r="F103" s="186" t="e">
        <f>'DETAILED UNIT AREA TABULATION'!#REF!</f>
        <v>#REF!</v>
      </c>
      <c r="G103" s="186" t="e">
        <f>'DETAILED UNIT AREA TABULATION'!#REF!</f>
        <v>#REF!</v>
      </c>
      <c r="H103" s="187"/>
      <c r="I103" s="190" t="e">
        <f>'DETAILED UNIT AREA TABULATION'!#REF!</f>
        <v>#REF!</v>
      </c>
      <c r="J103" s="205" t="e">
        <f t="shared" si="3"/>
        <v>#REF!</v>
      </c>
      <c r="K103" s="188" t="e">
        <f>'DETAILED UNIT AREA TABULATION'!#REF!</f>
        <v>#REF!</v>
      </c>
      <c r="L103" s="191">
        <v>1</v>
      </c>
    </row>
    <row r="104" spans="1:12" ht="15" thickBot="1" x14ac:dyDescent="0.4">
      <c r="A104" s="184">
        <f t="shared" si="4"/>
        <v>99</v>
      </c>
      <c r="B104" s="11" t="s">
        <v>101</v>
      </c>
      <c r="C104" s="12">
        <v>53</v>
      </c>
      <c r="D104" s="155" t="s">
        <v>35</v>
      </c>
      <c r="E104" s="185">
        <v>5</v>
      </c>
      <c r="F104" s="186" t="e">
        <f>'DETAILED UNIT AREA TABULATION'!#REF!</f>
        <v>#REF!</v>
      </c>
      <c r="G104" s="186" t="e">
        <f>'DETAILED UNIT AREA TABULATION'!#REF!</f>
        <v>#REF!</v>
      </c>
      <c r="H104" s="187"/>
      <c r="I104" s="190" t="e">
        <f>'DETAILED UNIT AREA TABULATION'!#REF!</f>
        <v>#REF!</v>
      </c>
      <c r="J104" s="205" t="e">
        <f t="shared" si="3"/>
        <v>#REF!</v>
      </c>
      <c r="K104" s="188" t="e">
        <f>'DETAILED UNIT AREA TABULATION'!#REF!</f>
        <v>#REF!</v>
      </c>
      <c r="L104" s="191">
        <v>1</v>
      </c>
    </row>
    <row r="105" spans="1:12" ht="15" thickBot="1" x14ac:dyDescent="0.4">
      <c r="A105" s="184">
        <f t="shared" si="4"/>
        <v>100</v>
      </c>
      <c r="B105" s="11" t="s">
        <v>101</v>
      </c>
      <c r="C105" s="12">
        <v>54</v>
      </c>
      <c r="D105" s="155" t="s">
        <v>35</v>
      </c>
      <c r="E105" s="185">
        <v>5</v>
      </c>
      <c r="F105" s="186" t="e">
        <f>'DETAILED UNIT AREA TABULATION'!#REF!</f>
        <v>#REF!</v>
      </c>
      <c r="G105" s="186" t="e">
        <f>'DETAILED UNIT AREA TABULATION'!#REF!</f>
        <v>#REF!</v>
      </c>
      <c r="H105" s="187"/>
      <c r="I105" s="190" t="e">
        <f>'DETAILED UNIT AREA TABULATION'!#REF!</f>
        <v>#REF!</v>
      </c>
      <c r="J105" s="205" t="e">
        <f t="shared" si="3"/>
        <v>#REF!</v>
      </c>
      <c r="K105" s="188" t="e">
        <f>'DETAILED UNIT AREA TABULATION'!#REF!</f>
        <v>#REF!</v>
      </c>
      <c r="L105" s="191">
        <v>1</v>
      </c>
    </row>
    <row r="106" spans="1:12" ht="15" thickBot="1" x14ac:dyDescent="0.4">
      <c r="A106" s="184">
        <f t="shared" si="4"/>
        <v>101</v>
      </c>
      <c r="B106" s="11" t="s">
        <v>101</v>
      </c>
      <c r="C106" s="12">
        <v>55</v>
      </c>
      <c r="D106" s="155" t="s">
        <v>104</v>
      </c>
      <c r="E106" s="185">
        <v>5</v>
      </c>
      <c r="F106" s="186" t="e">
        <f>'DETAILED UNIT AREA TABULATION'!#REF!</f>
        <v>#REF!</v>
      </c>
      <c r="G106" s="186" t="e">
        <f>'DETAILED UNIT AREA TABULATION'!#REF!</f>
        <v>#REF!</v>
      </c>
      <c r="H106" s="187"/>
      <c r="I106" s="190" t="e">
        <f>'DETAILED UNIT AREA TABULATION'!#REF!</f>
        <v>#REF!</v>
      </c>
      <c r="J106" s="205" t="e">
        <f t="shared" si="3"/>
        <v>#REF!</v>
      </c>
      <c r="K106" s="188" t="e">
        <f>'DETAILED UNIT AREA TABULATION'!#REF!</f>
        <v>#REF!</v>
      </c>
      <c r="L106" s="191">
        <v>1</v>
      </c>
    </row>
    <row r="107" spans="1:12" ht="15" thickBot="1" x14ac:dyDescent="0.4">
      <c r="A107" s="184">
        <f t="shared" si="4"/>
        <v>102</v>
      </c>
      <c r="B107" s="11" t="s">
        <v>101</v>
      </c>
      <c r="C107" s="12">
        <v>56</v>
      </c>
      <c r="D107" s="155" t="s">
        <v>104</v>
      </c>
      <c r="E107" s="185">
        <v>5</v>
      </c>
      <c r="F107" s="186" t="e">
        <f>'DETAILED UNIT AREA TABULATION'!#REF!</f>
        <v>#REF!</v>
      </c>
      <c r="G107" s="186" t="e">
        <f>'DETAILED UNIT AREA TABULATION'!#REF!</f>
        <v>#REF!</v>
      </c>
      <c r="H107" s="187"/>
      <c r="I107" s="190" t="e">
        <f>'DETAILED UNIT AREA TABULATION'!#REF!</f>
        <v>#REF!</v>
      </c>
      <c r="J107" s="205" t="e">
        <f t="shared" si="3"/>
        <v>#REF!</v>
      </c>
      <c r="K107" s="188" t="e">
        <f>'DETAILED UNIT AREA TABULATION'!#REF!</f>
        <v>#REF!</v>
      </c>
      <c r="L107" s="191">
        <v>1</v>
      </c>
    </row>
    <row r="108" spans="1:12" ht="15" thickBot="1" x14ac:dyDescent="0.4">
      <c r="A108" s="184">
        <f t="shared" si="4"/>
        <v>103</v>
      </c>
      <c r="B108" s="11" t="s">
        <v>101</v>
      </c>
      <c r="C108" s="12">
        <v>57</v>
      </c>
      <c r="D108" s="172" t="s">
        <v>33</v>
      </c>
      <c r="E108" s="185">
        <v>5</v>
      </c>
      <c r="F108" s="186" t="e">
        <f>'DETAILED UNIT AREA TABULATION'!#REF!</f>
        <v>#REF!</v>
      </c>
      <c r="G108" s="186" t="e">
        <f>'DETAILED UNIT AREA TABULATION'!#REF!</f>
        <v>#REF!</v>
      </c>
      <c r="H108" s="187"/>
      <c r="I108" s="190" t="e">
        <f>'DETAILED UNIT AREA TABULATION'!#REF!</f>
        <v>#REF!</v>
      </c>
      <c r="J108" s="205" t="e">
        <f t="shared" si="3"/>
        <v>#REF!</v>
      </c>
      <c r="K108" s="188" t="e">
        <f>'DETAILED UNIT AREA TABULATION'!#REF!</f>
        <v>#REF!</v>
      </c>
      <c r="L108" s="191">
        <v>1</v>
      </c>
    </row>
    <row r="109" spans="1:12" ht="15" thickBot="1" x14ac:dyDescent="0.4">
      <c r="A109" s="184">
        <f t="shared" si="4"/>
        <v>104</v>
      </c>
      <c r="B109" s="11" t="s">
        <v>101</v>
      </c>
      <c r="C109" s="12">
        <v>58</v>
      </c>
      <c r="D109" s="156" t="s">
        <v>33</v>
      </c>
      <c r="E109" s="173">
        <v>5</v>
      </c>
      <c r="F109" s="186" t="e">
        <f>'DETAILED UNIT AREA TABULATION'!#REF!</f>
        <v>#REF!</v>
      </c>
      <c r="G109" s="186" t="e">
        <f>'DETAILED UNIT AREA TABULATION'!#REF!</f>
        <v>#REF!</v>
      </c>
      <c r="H109" s="192"/>
      <c r="I109" s="193" t="e">
        <f>'DETAILED UNIT AREA TABULATION'!#REF!</f>
        <v>#REF!</v>
      </c>
      <c r="J109" s="206" t="e">
        <f t="shared" si="3"/>
        <v>#REF!</v>
      </c>
      <c r="K109" s="188" t="e">
        <f>'DETAILED UNIT AREA TABULATION'!#REF!</f>
        <v>#REF!</v>
      </c>
      <c r="L109" s="191">
        <v>1</v>
      </c>
    </row>
    <row r="110" spans="1:12" ht="15" thickBot="1" x14ac:dyDescent="0.4">
      <c r="A110" s="184">
        <f t="shared" si="4"/>
        <v>105</v>
      </c>
      <c r="B110" s="11" t="s">
        <v>101</v>
      </c>
      <c r="C110" s="12">
        <v>61</v>
      </c>
      <c r="D110" s="154" t="s">
        <v>35</v>
      </c>
      <c r="E110" s="185">
        <v>6</v>
      </c>
      <c r="F110" s="186" t="e">
        <f>'DETAILED UNIT AREA TABULATION'!#REF!</f>
        <v>#REF!</v>
      </c>
      <c r="G110" s="186" t="e">
        <f>'DETAILED UNIT AREA TABULATION'!#REF!</f>
        <v>#REF!</v>
      </c>
      <c r="H110" s="187"/>
      <c r="I110" s="190" t="e">
        <f>'DETAILED UNIT AREA TABULATION'!#REF!</f>
        <v>#REF!</v>
      </c>
      <c r="J110" s="205" t="e">
        <f t="shared" si="3"/>
        <v>#REF!</v>
      </c>
      <c r="K110" s="188" t="e">
        <f>'DETAILED UNIT AREA TABULATION'!#REF!</f>
        <v>#REF!</v>
      </c>
      <c r="L110" s="191">
        <v>1</v>
      </c>
    </row>
    <row r="111" spans="1:12" ht="15" thickBot="1" x14ac:dyDescent="0.4">
      <c r="A111" s="184">
        <f t="shared" si="4"/>
        <v>106</v>
      </c>
      <c r="B111" s="11" t="s">
        <v>101</v>
      </c>
      <c r="C111" s="12">
        <v>62</v>
      </c>
      <c r="D111" s="155" t="s">
        <v>35</v>
      </c>
      <c r="E111" s="185">
        <v>6</v>
      </c>
      <c r="F111" s="186" t="e">
        <f>'DETAILED UNIT AREA TABULATION'!#REF!</f>
        <v>#REF!</v>
      </c>
      <c r="G111" s="186" t="e">
        <f>'DETAILED UNIT AREA TABULATION'!#REF!</f>
        <v>#REF!</v>
      </c>
      <c r="H111" s="187"/>
      <c r="I111" s="190" t="e">
        <f>'DETAILED UNIT AREA TABULATION'!#REF!</f>
        <v>#REF!</v>
      </c>
      <c r="J111" s="205" t="e">
        <f t="shared" si="3"/>
        <v>#REF!</v>
      </c>
      <c r="K111" s="188" t="e">
        <f>'DETAILED UNIT AREA TABULATION'!#REF!</f>
        <v>#REF!</v>
      </c>
      <c r="L111" s="191">
        <v>1</v>
      </c>
    </row>
    <row r="112" spans="1:12" ht="15" thickBot="1" x14ac:dyDescent="0.4">
      <c r="A112" s="184">
        <f t="shared" si="4"/>
        <v>107</v>
      </c>
      <c r="B112" s="11" t="s">
        <v>101</v>
      </c>
      <c r="C112" s="12">
        <v>63</v>
      </c>
      <c r="D112" s="155" t="s">
        <v>35</v>
      </c>
      <c r="E112" s="185">
        <v>6</v>
      </c>
      <c r="F112" s="186" t="e">
        <f>'DETAILED UNIT AREA TABULATION'!#REF!</f>
        <v>#REF!</v>
      </c>
      <c r="G112" s="186" t="e">
        <f>'DETAILED UNIT AREA TABULATION'!#REF!</f>
        <v>#REF!</v>
      </c>
      <c r="H112" s="187"/>
      <c r="I112" s="190" t="e">
        <f>'DETAILED UNIT AREA TABULATION'!#REF!</f>
        <v>#REF!</v>
      </c>
      <c r="J112" s="205" t="e">
        <f t="shared" si="3"/>
        <v>#REF!</v>
      </c>
      <c r="K112" s="188" t="e">
        <f>'DETAILED UNIT AREA TABULATION'!#REF!</f>
        <v>#REF!</v>
      </c>
      <c r="L112" s="191">
        <v>1</v>
      </c>
    </row>
    <row r="113" spans="1:12" ht="15" thickBot="1" x14ac:dyDescent="0.4">
      <c r="A113" s="184">
        <f t="shared" si="4"/>
        <v>108</v>
      </c>
      <c r="B113" s="11" t="s">
        <v>101</v>
      </c>
      <c r="C113" s="12">
        <v>64</v>
      </c>
      <c r="D113" s="155" t="s">
        <v>35</v>
      </c>
      <c r="E113" s="185">
        <v>6</v>
      </c>
      <c r="F113" s="186" t="e">
        <f>'DETAILED UNIT AREA TABULATION'!#REF!</f>
        <v>#REF!</v>
      </c>
      <c r="G113" s="186" t="e">
        <f>'DETAILED UNIT AREA TABULATION'!#REF!</f>
        <v>#REF!</v>
      </c>
      <c r="H113" s="187"/>
      <c r="I113" s="190" t="e">
        <f>'DETAILED UNIT AREA TABULATION'!#REF!</f>
        <v>#REF!</v>
      </c>
      <c r="J113" s="205" t="e">
        <f t="shared" si="3"/>
        <v>#REF!</v>
      </c>
      <c r="K113" s="188" t="e">
        <f>'DETAILED UNIT AREA TABULATION'!#REF!</f>
        <v>#REF!</v>
      </c>
      <c r="L113" s="191">
        <v>1</v>
      </c>
    </row>
    <row r="114" spans="1:12" ht="15" thickBot="1" x14ac:dyDescent="0.4">
      <c r="A114" s="184">
        <f t="shared" si="4"/>
        <v>109</v>
      </c>
      <c r="B114" s="11" t="s">
        <v>101</v>
      </c>
      <c r="C114" s="12">
        <v>65</v>
      </c>
      <c r="D114" s="155" t="s">
        <v>104</v>
      </c>
      <c r="E114" s="185">
        <v>6</v>
      </c>
      <c r="F114" s="186" t="e">
        <f>'DETAILED UNIT AREA TABULATION'!#REF!</f>
        <v>#REF!</v>
      </c>
      <c r="G114" s="186" t="e">
        <f>'DETAILED UNIT AREA TABULATION'!#REF!</f>
        <v>#REF!</v>
      </c>
      <c r="H114" s="187"/>
      <c r="I114" s="190" t="e">
        <f>'DETAILED UNIT AREA TABULATION'!#REF!</f>
        <v>#REF!</v>
      </c>
      <c r="J114" s="205" t="e">
        <f t="shared" si="3"/>
        <v>#REF!</v>
      </c>
      <c r="K114" s="188" t="e">
        <f>'DETAILED UNIT AREA TABULATION'!#REF!</f>
        <v>#REF!</v>
      </c>
      <c r="L114" s="191">
        <v>1</v>
      </c>
    </row>
    <row r="115" spans="1:12" ht="15" thickBot="1" x14ac:dyDescent="0.4">
      <c r="A115" s="184">
        <f t="shared" si="4"/>
        <v>110</v>
      </c>
      <c r="B115" s="11" t="s">
        <v>101</v>
      </c>
      <c r="C115" s="12">
        <v>66</v>
      </c>
      <c r="D115" s="155" t="s">
        <v>104</v>
      </c>
      <c r="E115" s="185">
        <v>6</v>
      </c>
      <c r="F115" s="186" t="e">
        <f>'DETAILED UNIT AREA TABULATION'!#REF!</f>
        <v>#REF!</v>
      </c>
      <c r="G115" s="186" t="e">
        <f>'DETAILED UNIT AREA TABULATION'!#REF!</f>
        <v>#REF!</v>
      </c>
      <c r="H115" s="187"/>
      <c r="I115" s="190" t="e">
        <f>'DETAILED UNIT AREA TABULATION'!#REF!</f>
        <v>#REF!</v>
      </c>
      <c r="J115" s="205" t="e">
        <f t="shared" si="3"/>
        <v>#REF!</v>
      </c>
      <c r="K115" s="188" t="e">
        <f>'DETAILED UNIT AREA TABULATION'!#REF!</f>
        <v>#REF!</v>
      </c>
      <c r="L115" s="191">
        <v>1</v>
      </c>
    </row>
    <row r="116" spans="1:12" ht="15" thickBot="1" x14ac:dyDescent="0.4">
      <c r="A116" s="184">
        <f t="shared" si="4"/>
        <v>111</v>
      </c>
      <c r="B116" s="11" t="s">
        <v>101</v>
      </c>
      <c r="C116" s="12">
        <v>67</v>
      </c>
      <c r="D116" s="172" t="s">
        <v>33</v>
      </c>
      <c r="E116" s="185">
        <v>6</v>
      </c>
      <c r="F116" s="186" t="e">
        <f>'DETAILED UNIT AREA TABULATION'!#REF!</f>
        <v>#REF!</v>
      </c>
      <c r="G116" s="186" t="e">
        <f>'DETAILED UNIT AREA TABULATION'!#REF!</f>
        <v>#REF!</v>
      </c>
      <c r="H116" s="187"/>
      <c r="I116" s="190" t="e">
        <f>'DETAILED UNIT AREA TABULATION'!#REF!</f>
        <v>#REF!</v>
      </c>
      <c r="J116" s="205" t="e">
        <f t="shared" si="3"/>
        <v>#REF!</v>
      </c>
      <c r="K116" s="188" t="e">
        <f>'DETAILED UNIT AREA TABULATION'!#REF!</f>
        <v>#REF!</v>
      </c>
      <c r="L116" s="191">
        <v>1</v>
      </c>
    </row>
    <row r="117" spans="1:12" ht="15" thickBot="1" x14ac:dyDescent="0.4">
      <c r="A117" s="184">
        <f t="shared" si="4"/>
        <v>112</v>
      </c>
      <c r="B117" s="11" t="s">
        <v>101</v>
      </c>
      <c r="C117" s="12">
        <v>68</v>
      </c>
      <c r="D117" s="156" t="s">
        <v>33</v>
      </c>
      <c r="E117" s="173">
        <v>6</v>
      </c>
      <c r="F117" s="186" t="e">
        <f>'DETAILED UNIT AREA TABULATION'!#REF!</f>
        <v>#REF!</v>
      </c>
      <c r="G117" s="186" t="e">
        <f>'DETAILED UNIT AREA TABULATION'!#REF!</f>
        <v>#REF!</v>
      </c>
      <c r="H117" s="192"/>
      <c r="I117" s="193" t="e">
        <f>'DETAILED UNIT AREA TABULATION'!#REF!</f>
        <v>#REF!</v>
      </c>
      <c r="J117" s="206" t="e">
        <f t="shared" si="3"/>
        <v>#REF!</v>
      </c>
      <c r="K117" s="188" t="e">
        <f>'DETAILED UNIT AREA TABULATION'!#REF!</f>
        <v>#REF!</v>
      </c>
      <c r="L117" s="191">
        <v>1</v>
      </c>
    </row>
    <row r="118" spans="1:12" ht="15" thickBot="1" x14ac:dyDescent="0.4">
      <c r="A118" s="184">
        <f t="shared" si="4"/>
        <v>113</v>
      </c>
      <c r="B118" s="11" t="s">
        <v>101</v>
      </c>
      <c r="C118" s="12">
        <v>71</v>
      </c>
      <c r="D118" s="154" t="s">
        <v>35</v>
      </c>
      <c r="E118" s="185">
        <v>7</v>
      </c>
      <c r="F118" s="186" t="e">
        <f>'DETAILED UNIT AREA TABULATION'!#REF!</f>
        <v>#REF!</v>
      </c>
      <c r="G118" s="186" t="e">
        <f>'DETAILED UNIT AREA TABULATION'!#REF!</f>
        <v>#REF!</v>
      </c>
      <c r="H118" s="187"/>
      <c r="I118" s="190" t="e">
        <f>'DETAILED UNIT AREA TABULATION'!#REF!</f>
        <v>#REF!</v>
      </c>
      <c r="J118" s="205" t="e">
        <f t="shared" si="3"/>
        <v>#REF!</v>
      </c>
      <c r="K118" s="188" t="e">
        <f>'DETAILED UNIT AREA TABULATION'!#REF!</f>
        <v>#REF!</v>
      </c>
      <c r="L118" s="191">
        <v>1</v>
      </c>
    </row>
    <row r="119" spans="1:12" ht="15" thickBot="1" x14ac:dyDescent="0.4">
      <c r="A119" s="184">
        <f t="shared" si="4"/>
        <v>114</v>
      </c>
      <c r="B119" s="11" t="s">
        <v>101</v>
      </c>
      <c r="C119" s="12">
        <v>72</v>
      </c>
      <c r="D119" s="155" t="s">
        <v>35</v>
      </c>
      <c r="E119" s="185">
        <v>7</v>
      </c>
      <c r="F119" s="186" t="e">
        <f>'DETAILED UNIT AREA TABULATION'!#REF!</f>
        <v>#REF!</v>
      </c>
      <c r="G119" s="186" t="e">
        <f>'DETAILED UNIT AREA TABULATION'!#REF!</f>
        <v>#REF!</v>
      </c>
      <c r="H119" s="187"/>
      <c r="I119" s="190" t="e">
        <f>'DETAILED UNIT AREA TABULATION'!#REF!</f>
        <v>#REF!</v>
      </c>
      <c r="J119" s="205" t="e">
        <f t="shared" si="3"/>
        <v>#REF!</v>
      </c>
      <c r="K119" s="188" t="e">
        <f>'DETAILED UNIT AREA TABULATION'!#REF!</f>
        <v>#REF!</v>
      </c>
      <c r="L119" s="191">
        <v>1</v>
      </c>
    </row>
    <row r="120" spans="1:12" ht="15" thickBot="1" x14ac:dyDescent="0.4">
      <c r="A120" s="184">
        <f t="shared" si="4"/>
        <v>115</v>
      </c>
      <c r="B120" s="11" t="s">
        <v>101</v>
      </c>
      <c r="C120" s="12">
        <v>73</v>
      </c>
      <c r="D120" s="155" t="s">
        <v>35</v>
      </c>
      <c r="E120" s="185">
        <v>7</v>
      </c>
      <c r="F120" s="186" t="e">
        <f>'DETAILED UNIT AREA TABULATION'!#REF!</f>
        <v>#REF!</v>
      </c>
      <c r="G120" s="186" t="e">
        <f>'DETAILED UNIT AREA TABULATION'!#REF!</f>
        <v>#REF!</v>
      </c>
      <c r="H120" s="187"/>
      <c r="I120" s="190" t="e">
        <f>'DETAILED UNIT AREA TABULATION'!#REF!</f>
        <v>#REF!</v>
      </c>
      <c r="J120" s="205" t="e">
        <f t="shared" si="3"/>
        <v>#REF!</v>
      </c>
      <c r="K120" s="188" t="e">
        <f>'DETAILED UNIT AREA TABULATION'!#REF!</f>
        <v>#REF!</v>
      </c>
      <c r="L120" s="191">
        <v>1</v>
      </c>
    </row>
    <row r="121" spans="1:12" ht="15" thickBot="1" x14ac:dyDescent="0.4">
      <c r="A121" s="184">
        <f t="shared" si="4"/>
        <v>116</v>
      </c>
      <c r="B121" s="11" t="s">
        <v>101</v>
      </c>
      <c r="C121" s="12">
        <v>74</v>
      </c>
      <c r="D121" s="155" t="s">
        <v>35</v>
      </c>
      <c r="E121" s="185">
        <v>7</v>
      </c>
      <c r="F121" s="186" t="e">
        <f>'DETAILED UNIT AREA TABULATION'!#REF!</f>
        <v>#REF!</v>
      </c>
      <c r="G121" s="186" t="e">
        <f>'DETAILED UNIT AREA TABULATION'!#REF!</f>
        <v>#REF!</v>
      </c>
      <c r="H121" s="187"/>
      <c r="I121" s="190" t="e">
        <f>'DETAILED UNIT AREA TABULATION'!#REF!</f>
        <v>#REF!</v>
      </c>
      <c r="J121" s="205" t="e">
        <f t="shared" si="3"/>
        <v>#REF!</v>
      </c>
      <c r="K121" s="188" t="e">
        <f>'DETAILED UNIT AREA TABULATION'!#REF!</f>
        <v>#REF!</v>
      </c>
      <c r="L121" s="191">
        <v>1</v>
      </c>
    </row>
    <row r="122" spans="1:12" ht="15" thickBot="1" x14ac:dyDescent="0.4">
      <c r="A122" s="184">
        <f t="shared" si="4"/>
        <v>117</v>
      </c>
      <c r="B122" s="11" t="s">
        <v>101</v>
      </c>
      <c r="C122" s="12">
        <v>75</v>
      </c>
      <c r="D122" s="155" t="s">
        <v>104</v>
      </c>
      <c r="E122" s="185">
        <v>7</v>
      </c>
      <c r="F122" s="186" t="e">
        <f>'DETAILED UNIT AREA TABULATION'!#REF!</f>
        <v>#REF!</v>
      </c>
      <c r="G122" s="186" t="e">
        <f>'DETAILED UNIT AREA TABULATION'!#REF!</f>
        <v>#REF!</v>
      </c>
      <c r="H122" s="187"/>
      <c r="I122" s="190" t="e">
        <f>'DETAILED UNIT AREA TABULATION'!#REF!</f>
        <v>#REF!</v>
      </c>
      <c r="J122" s="205" t="e">
        <f t="shared" si="3"/>
        <v>#REF!</v>
      </c>
      <c r="K122" s="188" t="e">
        <f>'DETAILED UNIT AREA TABULATION'!#REF!</f>
        <v>#REF!</v>
      </c>
      <c r="L122" s="191">
        <v>1</v>
      </c>
    </row>
    <row r="123" spans="1:12" ht="15" thickBot="1" x14ac:dyDescent="0.4">
      <c r="A123" s="184">
        <f t="shared" si="4"/>
        <v>118</v>
      </c>
      <c r="B123" s="11" t="s">
        <v>101</v>
      </c>
      <c r="C123" s="12">
        <v>76</v>
      </c>
      <c r="D123" s="155" t="s">
        <v>104</v>
      </c>
      <c r="E123" s="185">
        <v>7</v>
      </c>
      <c r="F123" s="186" t="e">
        <f>'DETAILED UNIT AREA TABULATION'!#REF!</f>
        <v>#REF!</v>
      </c>
      <c r="G123" s="186" t="e">
        <f>'DETAILED UNIT AREA TABULATION'!#REF!</f>
        <v>#REF!</v>
      </c>
      <c r="H123" s="187"/>
      <c r="I123" s="190" t="e">
        <f>'DETAILED UNIT AREA TABULATION'!#REF!</f>
        <v>#REF!</v>
      </c>
      <c r="J123" s="205" t="e">
        <f t="shared" si="3"/>
        <v>#REF!</v>
      </c>
      <c r="K123" s="188" t="e">
        <f>'DETAILED UNIT AREA TABULATION'!#REF!</f>
        <v>#REF!</v>
      </c>
      <c r="L123" s="191">
        <v>1</v>
      </c>
    </row>
    <row r="124" spans="1:12" ht="15" thickBot="1" x14ac:dyDescent="0.4">
      <c r="A124" s="184">
        <f t="shared" si="4"/>
        <v>119</v>
      </c>
      <c r="B124" s="11" t="s">
        <v>101</v>
      </c>
      <c r="C124" s="12">
        <v>77</v>
      </c>
      <c r="D124" s="172" t="s">
        <v>33</v>
      </c>
      <c r="E124" s="185">
        <v>7</v>
      </c>
      <c r="F124" s="186" t="e">
        <f>'DETAILED UNIT AREA TABULATION'!#REF!</f>
        <v>#REF!</v>
      </c>
      <c r="G124" s="186" t="e">
        <f>'DETAILED UNIT AREA TABULATION'!#REF!</f>
        <v>#REF!</v>
      </c>
      <c r="H124" s="187"/>
      <c r="I124" s="190" t="e">
        <f>'DETAILED UNIT AREA TABULATION'!#REF!</f>
        <v>#REF!</v>
      </c>
      <c r="J124" s="205" t="e">
        <f t="shared" si="3"/>
        <v>#REF!</v>
      </c>
      <c r="K124" s="188" t="e">
        <f>'DETAILED UNIT AREA TABULATION'!#REF!</f>
        <v>#REF!</v>
      </c>
      <c r="L124" s="191">
        <v>1</v>
      </c>
    </row>
    <row r="125" spans="1:12" ht="15" thickBot="1" x14ac:dyDescent="0.4">
      <c r="A125" s="184">
        <f t="shared" si="4"/>
        <v>120</v>
      </c>
      <c r="B125" s="11" t="s">
        <v>101</v>
      </c>
      <c r="C125" s="12">
        <v>78</v>
      </c>
      <c r="D125" s="156" t="s">
        <v>33</v>
      </c>
      <c r="E125" s="173">
        <v>7</v>
      </c>
      <c r="F125" s="186" t="e">
        <f>'DETAILED UNIT AREA TABULATION'!#REF!</f>
        <v>#REF!</v>
      </c>
      <c r="G125" s="186" t="e">
        <f>'DETAILED UNIT AREA TABULATION'!#REF!</f>
        <v>#REF!</v>
      </c>
      <c r="H125" s="192"/>
      <c r="I125" s="193" t="e">
        <f>'DETAILED UNIT AREA TABULATION'!#REF!</f>
        <v>#REF!</v>
      </c>
      <c r="J125" s="206" t="e">
        <f t="shared" si="3"/>
        <v>#REF!</v>
      </c>
      <c r="K125" s="188" t="e">
        <f>'DETAILED UNIT AREA TABULATION'!#REF!</f>
        <v>#REF!</v>
      </c>
      <c r="L125" s="191">
        <v>1</v>
      </c>
    </row>
    <row r="126" spans="1:12" ht="15" thickBot="1" x14ac:dyDescent="0.4">
      <c r="A126" s="184">
        <f t="shared" si="4"/>
        <v>121</v>
      </c>
      <c r="B126" s="11" t="s">
        <v>101</v>
      </c>
      <c r="C126" s="12">
        <v>81</v>
      </c>
      <c r="D126" s="154" t="s">
        <v>35</v>
      </c>
      <c r="E126" s="185">
        <v>8</v>
      </c>
      <c r="F126" s="186" t="e">
        <f>'DETAILED UNIT AREA TABULATION'!#REF!</f>
        <v>#REF!</v>
      </c>
      <c r="G126" s="186" t="e">
        <f>'DETAILED UNIT AREA TABULATION'!#REF!</f>
        <v>#REF!</v>
      </c>
      <c r="H126" s="187"/>
      <c r="I126" s="190" t="e">
        <f>'DETAILED UNIT AREA TABULATION'!#REF!</f>
        <v>#REF!</v>
      </c>
      <c r="J126" s="205" t="e">
        <f t="shared" si="3"/>
        <v>#REF!</v>
      </c>
      <c r="K126" s="188" t="e">
        <f>'DETAILED UNIT AREA TABULATION'!#REF!</f>
        <v>#REF!</v>
      </c>
      <c r="L126" s="191">
        <v>1</v>
      </c>
    </row>
    <row r="127" spans="1:12" ht="15" thickBot="1" x14ac:dyDescent="0.4">
      <c r="A127" s="184">
        <f t="shared" si="4"/>
        <v>122</v>
      </c>
      <c r="B127" s="11" t="s">
        <v>101</v>
      </c>
      <c r="C127" s="12">
        <v>82</v>
      </c>
      <c r="D127" s="155" t="s">
        <v>35</v>
      </c>
      <c r="E127" s="185">
        <v>8</v>
      </c>
      <c r="F127" s="186" t="e">
        <f>'DETAILED UNIT AREA TABULATION'!#REF!</f>
        <v>#REF!</v>
      </c>
      <c r="G127" s="186" t="e">
        <f>'DETAILED UNIT AREA TABULATION'!#REF!</f>
        <v>#REF!</v>
      </c>
      <c r="H127" s="187"/>
      <c r="I127" s="190" t="e">
        <f>'DETAILED UNIT AREA TABULATION'!#REF!</f>
        <v>#REF!</v>
      </c>
      <c r="J127" s="205" t="e">
        <f t="shared" si="3"/>
        <v>#REF!</v>
      </c>
      <c r="K127" s="188" t="e">
        <f>'DETAILED UNIT AREA TABULATION'!#REF!</f>
        <v>#REF!</v>
      </c>
      <c r="L127" s="191">
        <v>1</v>
      </c>
    </row>
    <row r="128" spans="1:12" ht="15" thickBot="1" x14ac:dyDescent="0.4">
      <c r="A128" s="184">
        <f t="shared" si="4"/>
        <v>123</v>
      </c>
      <c r="B128" s="11" t="s">
        <v>101</v>
      </c>
      <c r="C128" s="12">
        <v>83</v>
      </c>
      <c r="D128" s="155" t="s">
        <v>35</v>
      </c>
      <c r="E128" s="185">
        <v>8</v>
      </c>
      <c r="F128" s="186" t="e">
        <f>'DETAILED UNIT AREA TABULATION'!#REF!</f>
        <v>#REF!</v>
      </c>
      <c r="G128" s="186" t="e">
        <f>'DETAILED UNIT AREA TABULATION'!#REF!</f>
        <v>#REF!</v>
      </c>
      <c r="H128" s="187"/>
      <c r="I128" s="190" t="e">
        <f>'DETAILED UNIT AREA TABULATION'!#REF!</f>
        <v>#REF!</v>
      </c>
      <c r="J128" s="205" t="e">
        <f t="shared" si="3"/>
        <v>#REF!</v>
      </c>
      <c r="K128" s="188" t="e">
        <f>'DETAILED UNIT AREA TABULATION'!#REF!</f>
        <v>#REF!</v>
      </c>
      <c r="L128" s="191">
        <v>1</v>
      </c>
    </row>
    <row r="129" spans="1:12" ht="15" thickBot="1" x14ac:dyDescent="0.4">
      <c r="A129" s="184">
        <f t="shared" si="4"/>
        <v>124</v>
      </c>
      <c r="B129" s="11" t="s">
        <v>101</v>
      </c>
      <c r="C129" s="12">
        <v>84</v>
      </c>
      <c r="D129" s="155" t="s">
        <v>35</v>
      </c>
      <c r="E129" s="185">
        <v>8</v>
      </c>
      <c r="F129" s="186" t="e">
        <f>'DETAILED UNIT AREA TABULATION'!#REF!</f>
        <v>#REF!</v>
      </c>
      <c r="G129" s="186" t="e">
        <f>'DETAILED UNIT AREA TABULATION'!#REF!</f>
        <v>#REF!</v>
      </c>
      <c r="H129" s="187"/>
      <c r="I129" s="190" t="e">
        <f>'DETAILED UNIT AREA TABULATION'!#REF!</f>
        <v>#REF!</v>
      </c>
      <c r="J129" s="205" t="e">
        <f t="shared" si="3"/>
        <v>#REF!</v>
      </c>
      <c r="K129" s="188" t="e">
        <f>'DETAILED UNIT AREA TABULATION'!#REF!</f>
        <v>#REF!</v>
      </c>
      <c r="L129" s="191">
        <v>1</v>
      </c>
    </row>
    <row r="130" spans="1:12" ht="15" thickBot="1" x14ac:dyDescent="0.4">
      <c r="A130" s="184">
        <f t="shared" si="4"/>
        <v>125</v>
      </c>
      <c r="B130" s="11" t="s">
        <v>101</v>
      </c>
      <c r="C130" s="12">
        <v>85</v>
      </c>
      <c r="D130" s="155" t="s">
        <v>104</v>
      </c>
      <c r="E130" s="185">
        <v>8</v>
      </c>
      <c r="F130" s="186" t="e">
        <f>'DETAILED UNIT AREA TABULATION'!#REF!</f>
        <v>#REF!</v>
      </c>
      <c r="G130" s="186" t="e">
        <f>'DETAILED UNIT AREA TABULATION'!#REF!</f>
        <v>#REF!</v>
      </c>
      <c r="H130" s="187"/>
      <c r="I130" s="190" t="e">
        <f>'DETAILED UNIT AREA TABULATION'!#REF!</f>
        <v>#REF!</v>
      </c>
      <c r="J130" s="205" t="e">
        <f t="shared" si="3"/>
        <v>#REF!</v>
      </c>
      <c r="K130" s="188" t="e">
        <f>'DETAILED UNIT AREA TABULATION'!#REF!</f>
        <v>#REF!</v>
      </c>
      <c r="L130" s="191">
        <v>1</v>
      </c>
    </row>
    <row r="131" spans="1:12" ht="15" thickBot="1" x14ac:dyDescent="0.4">
      <c r="A131" s="184">
        <f t="shared" si="4"/>
        <v>126</v>
      </c>
      <c r="B131" s="11" t="s">
        <v>101</v>
      </c>
      <c r="C131" s="12">
        <v>86</v>
      </c>
      <c r="D131" s="155" t="s">
        <v>104</v>
      </c>
      <c r="E131" s="185">
        <v>8</v>
      </c>
      <c r="F131" s="186" t="e">
        <f>'DETAILED UNIT AREA TABULATION'!#REF!</f>
        <v>#REF!</v>
      </c>
      <c r="G131" s="186" t="e">
        <f>'DETAILED UNIT AREA TABULATION'!#REF!</f>
        <v>#REF!</v>
      </c>
      <c r="H131" s="187"/>
      <c r="I131" s="190" t="e">
        <f>'DETAILED UNIT AREA TABULATION'!#REF!</f>
        <v>#REF!</v>
      </c>
      <c r="J131" s="205" t="e">
        <f t="shared" si="3"/>
        <v>#REF!</v>
      </c>
      <c r="K131" s="188" t="e">
        <f>'DETAILED UNIT AREA TABULATION'!#REF!</f>
        <v>#REF!</v>
      </c>
      <c r="L131" s="191">
        <v>1</v>
      </c>
    </row>
    <row r="132" spans="1:12" ht="15" thickBot="1" x14ac:dyDescent="0.4">
      <c r="A132" s="184">
        <f t="shared" si="4"/>
        <v>127</v>
      </c>
      <c r="B132" s="11" t="s">
        <v>101</v>
      </c>
      <c r="C132" s="12">
        <v>87</v>
      </c>
      <c r="D132" s="172" t="s">
        <v>33</v>
      </c>
      <c r="E132" s="185">
        <v>8</v>
      </c>
      <c r="F132" s="186" t="e">
        <f>'DETAILED UNIT AREA TABULATION'!#REF!</f>
        <v>#REF!</v>
      </c>
      <c r="G132" s="186" t="e">
        <f>'DETAILED UNIT AREA TABULATION'!#REF!</f>
        <v>#REF!</v>
      </c>
      <c r="H132" s="187"/>
      <c r="I132" s="190" t="e">
        <f>'DETAILED UNIT AREA TABULATION'!#REF!</f>
        <v>#REF!</v>
      </c>
      <c r="J132" s="205" t="e">
        <f t="shared" si="3"/>
        <v>#REF!</v>
      </c>
      <c r="K132" s="188" t="e">
        <f>'DETAILED UNIT AREA TABULATION'!#REF!</f>
        <v>#REF!</v>
      </c>
      <c r="L132" s="191">
        <v>1</v>
      </c>
    </row>
    <row r="133" spans="1:12" ht="15" thickBot="1" x14ac:dyDescent="0.4">
      <c r="A133" s="194">
        <f t="shared" si="4"/>
        <v>128</v>
      </c>
      <c r="B133" s="124" t="s">
        <v>101</v>
      </c>
      <c r="C133" s="125">
        <v>88</v>
      </c>
      <c r="D133" s="156" t="s">
        <v>33</v>
      </c>
      <c r="E133" s="173">
        <v>8</v>
      </c>
      <c r="F133" s="186" t="e">
        <f>'DETAILED UNIT AREA TABULATION'!#REF!</f>
        <v>#REF!</v>
      </c>
      <c r="G133" s="186" t="e">
        <f>'DETAILED UNIT AREA TABULATION'!#REF!</f>
        <v>#REF!</v>
      </c>
      <c r="H133" s="192"/>
      <c r="I133" s="193" t="e">
        <f>'DETAILED UNIT AREA TABULATION'!#REF!</f>
        <v>#REF!</v>
      </c>
      <c r="J133" s="206" t="e">
        <f t="shared" si="3"/>
        <v>#REF!</v>
      </c>
      <c r="K133" s="188" t="e">
        <f>'DETAILED UNIT AREA TABULATION'!#REF!</f>
        <v>#REF!</v>
      </c>
      <c r="L133" s="191">
        <v>1</v>
      </c>
    </row>
    <row r="134" spans="1:12" ht="15" thickBot="1" x14ac:dyDescent="0.4">
      <c r="A134" s="195">
        <f t="shared" si="4"/>
        <v>129</v>
      </c>
      <c r="B134" s="58" t="s">
        <v>102</v>
      </c>
      <c r="C134" s="12">
        <v>11</v>
      </c>
      <c r="D134" s="122" t="s">
        <v>35</v>
      </c>
      <c r="E134" s="185">
        <v>1</v>
      </c>
      <c r="F134" s="186" t="e">
        <f>'DETAILED UNIT AREA TABULATION'!#REF!</f>
        <v>#REF!</v>
      </c>
      <c r="G134" s="186" t="e">
        <f>'DETAILED UNIT AREA TABULATION'!#REF!</f>
        <v>#REF!</v>
      </c>
      <c r="H134" s="187"/>
      <c r="I134" s="190" t="e">
        <f>'DETAILED UNIT AREA TABULATION'!#REF!</f>
        <v>#REF!</v>
      </c>
      <c r="J134" s="205" t="e">
        <f t="shared" si="3"/>
        <v>#REF!</v>
      </c>
      <c r="K134" s="188" t="e">
        <f>'DETAILED UNIT AREA TABULATION'!#REF!</f>
        <v>#REF!</v>
      </c>
      <c r="L134" s="191">
        <v>1</v>
      </c>
    </row>
    <row r="135" spans="1:12" ht="15" thickBot="1" x14ac:dyDescent="0.4">
      <c r="A135" s="195">
        <f t="shared" si="4"/>
        <v>130</v>
      </c>
      <c r="B135" s="58" t="s">
        <v>102</v>
      </c>
      <c r="C135" s="12">
        <v>12</v>
      </c>
      <c r="D135" s="121" t="s">
        <v>35</v>
      </c>
      <c r="E135" s="185">
        <v>1</v>
      </c>
      <c r="F135" s="186" t="e">
        <f>'DETAILED UNIT AREA TABULATION'!#REF!</f>
        <v>#REF!</v>
      </c>
      <c r="G135" s="186" t="e">
        <f>'DETAILED UNIT AREA TABULATION'!#REF!</f>
        <v>#REF!</v>
      </c>
      <c r="H135" s="187"/>
      <c r="I135" s="190" t="e">
        <f>'DETAILED UNIT AREA TABULATION'!#REF!</f>
        <v>#REF!</v>
      </c>
      <c r="J135" s="205" t="e">
        <f t="shared" ref="J135:J198" si="5">I135+G135+F135</f>
        <v>#REF!</v>
      </c>
      <c r="K135" s="188" t="e">
        <f>'DETAILED UNIT AREA TABULATION'!#REF!</f>
        <v>#REF!</v>
      </c>
      <c r="L135" s="191">
        <v>1</v>
      </c>
    </row>
    <row r="136" spans="1:12" ht="15" thickBot="1" x14ac:dyDescent="0.4">
      <c r="A136" s="195">
        <f t="shared" si="4"/>
        <v>131</v>
      </c>
      <c r="B136" s="58" t="s">
        <v>102</v>
      </c>
      <c r="C136" s="12">
        <v>13</v>
      </c>
      <c r="D136" s="121" t="s">
        <v>35</v>
      </c>
      <c r="E136" s="185">
        <v>1</v>
      </c>
      <c r="F136" s="186" t="e">
        <f>'DETAILED UNIT AREA TABULATION'!#REF!</f>
        <v>#REF!</v>
      </c>
      <c r="G136" s="186" t="e">
        <f>'DETAILED UNIT AREA TABULATION'!#REF!</f>
        <v>#REF!</v>
      </c>
      <c r="H136" s="187"/>
      <c r="I136" s="190" t="e">
        <f>'DETAILED UNIT AREA TABULATION'!#REF!</f>
        <v>#REF!</v>
      </c>
      <c r="J136" s="205" t="e">
        <f t="shared" si="5"/>
        <v>#REF!</v>
      </c>
      <c r="K136" s="188" t="e">
        <f>'DETAILED UNIT AREA TABULATION'!#REF!</f>
        <v>#REF!</v>
      </c>
      <c r="L136" s="191">
        <v>1</v>
      </c>
    </row>
    <row r="137" spans="1:12" ht="15" thickBot="1" x14ac:dyDescent="0.4">
      <c r="A137" s="195">
        <f t="shared" si="4"/>
        <v>132</v>
      </c>
      <c r="B137" s="58" t="s">
        <v>102</v>
      </c>
      <c r="C137" s="12">
        <v>14</v>
      </c>
      <c r="D137" s="121" t="s">
        <v>35</v>
      </c>
      <c r="E137" s="185">
        <v>1</v>
      </c>
      <c r="F137" s="186" t="e">
        <f>'DETAILED UNIT AREA TABULATION'!#REF!</f>
        <v>#REF!</v>
      </c>
      <c r="G137" s="186" t="e">
        <f>'DETAILED UNIT AREA TABULATION'!#REF!</f>
        <v>#REF!</v>
      </c>
      <c r="H137" s="187"/>
      <c r="I137" s="190" t="e">
        <f>'DETAILED UNIT AREA TABULATION'!#REF!</f>
        <v>#REF!</v>
      </c>
      <c r="J137" s="205" t="e">
        <f t="shared" si="5"/>
        <v>#REF!</v>
      </c>
      <c r="K137" s="188" t="e">
        <f>'DETAILED UNIT AREA TABULATION'!#REF!</f>
        <v>#REF!</v>
      </c>
      <c r="L137" s="191">
        <v>1</v>
      </c>
    </row>
    <row r="138" spans="1:12" ht="15" thickBot="1" x14ac:dyDescent="0.4">
      <c r="A138" s="195">
        <f t="shared" si="4"/>
        <v>133</v>
      </c>
      <c r="B138" s="58" t="s">
        <v>102</v>
      </c>
      <c r="C138" s="12">
        <v>15</v>
      </c>
      <c r="D138" s="121" t="s">
        <v>104</v>
      </c>
      <c r="E138" s="185">
        <v>1</v>
      </c>
      <c r="F138" s="186" t="e">
        <f>'DETAILED UNIT AREA TABULATION'!#REF!</f>
        <v>#REF!</v>
      </c>
      <c r="G138" s="186" t="e">
        <f>'DETAILED UNIT AREA TABULATION'!#REF!</f>
        <v>#REF!</v>
      </c>
      <c r="H138" s="187"/>
      <c r="I138" s="190" t="e">
        <f>'DETAILED UNIT AREA TABULATION'!#REF!</f>
        <v>#REF!</v>
      </c>
      <c r="J138" s="205" t="e">
        <f t="shared" si="5"/>
        <v>#REF!</v>
      </c>
      <c r="K138" s="188" t="e">
        <f>'DETAILED UNIT AREA TABULATION'!#REF!</f>
        <v>#REF!</v>
      </c>
      <c r="L138" s="191">
        <v>1</v>
      </c>
    </row>
    <row r="139" spans="1:12" ht="15" thickBot="1" x14ac:dyDescent="0.4">
      <c r="A139" s="195">
        <f t="shared" si="4"/>
        <v>134</v>
      </c>
      <c r="B139" s="58" t="s">
        <v>102</v>
      </c>
      <c r="C139" s="12">
        <v>16</v>
      </c>
      <c r="D139" s="121" t="s">
        <v>104</v>
      </c>
      <c r="E139" s="185">
        <v>1</v>
      </c>
      <c r="F139" s="186" t="e">
        <f>'DETAILED UNIT AREA TABULATION'!#REF!</f>
        <v>#REF!</v>
      </c>
      <c r="G139" s="186" t="e">
        <f>'DETAILED UNIT AREA TABULATION'!#REF!</f>
        <v>#REF!</v>
      </c>
      <c r="H139" s="187"/>
      <c r="I139" s="190" t="e">
        <f>'DETAILED UNIT AREA TABULATION'!#REF!</f>
        <v>#REF!</v>
      </c>
      <c r="J139" s="205" t="e">
        <f t="shared" si="5"/>
        <v>#REF!</v>
      </c>
      <c r="K139" s="188" t="e">
        <f>'DETAILED UNIT AREA TABULATION'!#REF!</f>
        <v>#REF!</v>
      </c>
      <c r="L139" s="191">
        <v>1</v>
      </c>
    </row>
    <row r="140" spans="1:12" ht="15" thickBot="1" x14ac:dyDescent="0.4">
      <c r="A140" s="184">
        <f t="shared" si="4"/>
        <v>135</v>
      </c>
      <c r="B140" s="11" t="s">
        <v>102</v>
      </c>
      <c r="C140" s="12">
        <v>17</v>
      </c>
      <c r="D140" s="172" t="s">
        <v>33</v>
      </c>
      <c r="E140" s="185">
        <v>1</v>
      </c>
      <c r="F140" s="186" t="e">
        <f>'DETAILED UNIT AREA TABULATION'!#REF!</f>
        <v>#REF!</v>
      </c>
      <c r="G140" s="186" t="e">
        <f>'DETAILED UNIT AREA TABULATION'!#REF!</f>
        <v>#REF!</v>
      </c>
      <c r="H140" s="187"/>
      <c r="I140" s="190" t="e">
        <f>'DETAILED UNIT AREA TABULATION'!#REF!</f>
        <v>#REF!</v>
      </c>
      <c r="J140" s="205" t="e">
        <f t="shared" si="5"/>
        <v>#REF!</v>
      </c>
      <c r="K140" s="188" t="e">
        <f>'DETAILED UNIT AREA TABULATION'!#REF!</f>
        <v>#REF!</v>
      </c>
      <c r="L140" s="191">
        <v>1</v>
      </c>
    </row>
    <row r="141" spans="1:12" ht="15" thickBot="1" x14ac:dyDescent="0.4">
      <c r="A141" s="184">
        <f t="shared" si="4"/>
        <v>136</v>
      </c>
      <c r="B141" s="11" t="s">
        <v>102</v>
      </c>
      <c r="C141" s="12">
        <v>18</v>
      </c>
      <c r="D141" s="156" t="s">
        <v>33</v>
      </c>
      <c r="E141" s="173">
        <v>1</v>
      </c>
      <c r="F141" s="186" t="e">
        <f>'DETAILED UNIT AREA TABULATION'!#REF!</f>
        <v>#REF!</v>
      </c>
      <c r="G141" s="186" t="e">
        <f>'DETAILED UNIT AREA TABULATION'!#REF!</f>
        <v>#REF!</v>
      </c>
      <c r="H141" s="192"/>
      <c r="I141" s="193" t="e">
        <f>'DETAILED UNIT AREA TABULATION'!#REF!</f>
        <v>#REF!</v>
      </c>
      <c r="J141" s="206" t="e">
        <f t="shared" si="5"/>
        <v>#REF!</v>
      </c>
      <c r="K141" s="188" t="e">
        <f>'DETAILED UNIT AREA TABULATION'!#REF!</f>
        <v>#REF!</v>
      </c>
      <c r="L141" s="191">
        <v>1</v>
      </c>
    </row>
    <row r="142" spans="1:12" ht="15" thickBot="1" x14ac:dyDescent="0.4">
      <c r="A142" s="184">
        <f t="shared" ref="A142:A205" si="6">A141+1</f>
        <v>137</v>
      </c>
      <c r="B142" s="11" t="s">
        <v>102</v>
      </c>
      <c r="C142" s="12">
        <v>21</v>
      </c>
      <c r="D142" s="154" t="s">
        <v>35</v>
      </c>
      <c r="E142" s="185">
        <v>2</v>
      </c>
      <c r="F142" s="186" t="e">
        <f>'DETAILED UNIT AREA TABULATION'!#REF!</f>
        <v>#REF!</v>
      </c>
      <c r="G142" s="186" t="e">
        <f>'DETAILED UNIT AREA TABULATION'!#REF!</f>
        <v>#REF!</v>
      </c>
      <c r="H142" s="187"/>
      <c r="I142" s="190" t="e">
        <f>'DETAILED UNIT AREA TABULATION'!#REF!</f>
        <v>#REF!</v>
      </c>
      <c r="J142" s="205" t="e">
        <f t="shared" si="5"/>
        <v>#REF!</v>
      </c>
      <c r="K142" s="188" t="e">
        <f>'DETAILED UNIT AREA TABULATION'!#REF!</f>
        <v>#REF!</v>
      </c>
      <c r="L142" s="191">
        <v>1</v>
      </c>
    </row>
    <row r="143" spans="1:12" ht="15" thickBot="1" x14ac:dyDescent="0.4">
      <c r="A143" s="184">
        <f t="shared" si="6"/>
        <v>138</v>
      </c>
      <c r="B143" s="11" t="s">
        <v>102</v>
      </c>
      <c r="C143" s="12">
        <v>22</v>
      </c>
      <c r="D143" s="155" t="s">
        <v>35</v>
      </c>
      <c r="E143" s="185">
        <v>2</v>
      </c>
      <c r="F143" s="186" t="e">
        <f>'DETAILED UNIT AREA TABULATION'!#REF!</f>
        <v>#REF!</v>
      </c>
      <c r="G143" s="186" t="e">
        <f>'DETAILED UNIT AREA TABULATION'!#REF!</f>
        <v>#REF!</v>
      </c>
      <c r="H143" s="187"/>
      <c r="I143" s="190" t="e">
        <f>'DETAILED UNIT AREA TABULATION'!#REF!</f>
        <v>#REF!</v>
      </c>
      <c r="J143" s="205" t="e">
        <f t="shared" si="5"/>
        <v>#REF!</v>
      </c>
      <c r="K143" s="188" t="e">
        <f>'DETAILED UNIT AREA TABULATION'!#REF!</f>
        <v>#REF!</v>
      </c>
      <c r="L143" s="191">
        <v>1</v>
      </c>
    </row>
    <row r="144" spans="1:12" ht="15" thickBot="1" x14ac:dyDescent="0.4">
      <c r="A144" s="184">
        <f t="shared" si="6"/>
        <v>139</v>
      </c>
      <c r="B144" s="11" t="s">
        <v>102</v>
      </c>
      <c r="C144" s="12">
        <v>23</v>
      </c>
      <c r="D144" s="155" t="s">
        <v>35</v>
      </c>
      <c r="E144" s="185">
        <v>2</v>
      </c>
      <c r="F144" s="186" t="e">
        <f>'DETAILED UNIT AREA TABULATION'!#REF!</f>
        <v>#REF!</v>
      </c>
      <c r="G144" s="186" t="e">
        <f>'DETAILED UNIT AREA TABULATION'!#REF!</f>
        <v>#REF!</v>
      </c>
      <c r="H144" s="187"/>
      <c r="I144" s="190" t="e">
        <f>'DETAILED UNIT AREA TABULATION'!#REF!</f>
        <v>#REF!</v>
      </c>
      <c r="J144" s="205" t="e">
        <f t="shared" si="5"/>
        <v>#REF!</v>
      </c>
      <c r="K144" s="188" t="e">
        <f>'DETAILED UNIT AREA TABULATION'!#REF!</f>
        <v>#REF!</v>
      </c>
      <c r="L144" s="191">
        <v>1</v>
      </c>
    </row>
    <row r="145" spans="1:12" ht="15" thickBot="1" x14ac:dyDescent="0.4">
      <c r="A145" s="184">
        <f t="shared" si="6"/>
        <v>140</v>
      </c>
      <c r="B145" s="11" t="s">
        <v>102</v>
      </c>
      <c r="C145" s="12">
        <v>24</v>
      </c>
      <c r="D145" s="155" t="s">
        <v>35</v>
      </c>
      <c r="E145" s="185">
        <v>2</v>
      </c>
      <c r="F145" s="186" t="e">
        <f>'DETAILED UNIT AREA TABULATION'!#REF!</f>
        <v>#REF!</v>
      </c>
      <c r="G145" s="186" t="e">
        <f>'DETAILED UNIT AREA TABULATION'!#REF!</f>
        <v>#REF!</v>
      </c>
      <c r="H145" s="187"/>
      <c r="I145" s="190" t="e">
        <f>'DETAILED UNIT AREA TABULATION'!#REF!</f>
        <v>#REF!</v>
      </c>
      <c r="J145" s="205" t="e">
        <f t="shared" si="5"/>
        <v>#REF!</v>
      </c>
      <c r="K145" s="188" t="e">
        <f>'DETAILED UNIT AREA TABULATION'!#REF!</f>
        <v>#REF!</v>
      </c>
      <c r="L145" s="191">
        <v>1</v>
      </c>
    </row>
    <row r="146" spans="1:12" ht="15" thickBot="1" x14ac:dyDescent="0.4">
      <c r="A146" s="184">
        <f t="shared" si="6"/>
        <v>141</v>
      </c>
      <c r="B146" s="11" t="s">
        <v>102</v>
      </c>
      <c r="C146" s="12">
        <v>25</v>
      </c>
      <c r="D146" s="155" t="s">
        <v>104</v>
      </c>
      <c r="E146" s="185">
        <v>2</v>
      </c>
      <c r="F146" s="186" t="e">
        <f>'DETAILED UNIT AREA TABULATION'!#REF!</f>
        <v>#REF!</v>
      </c>
      <c r="G146" s="186" t="e">
        <f>'DETAILED UNIT AREA TABULATION'!#REF!</f>
        <v>#REF!</v>
      </c>
      <c r="H146" s="187"/>
      <c r="I146" s="190" t="e">
        <f>'DETAILED UNIT AREA TABULATION'!#REF!</f>
        <v>#REF!</v>
      </c>
      <c r="J146" s="205" t="e">
        <f t="shared" si="5"/>
        <v>#REF!</v>
      </c>
      <c r="K146" s="188" t="e">
        <f>'DETAILED UNIT AREA TABULATION'!#REF!</f>
        <v>#REF!</v>
      </c>
      <c r="L146" s="191">
        <v>1</v>
      </c>
    </row>
    <row r="147" spans="1:12" ht="15" thickBot="1" x14ac:dyDescent="0.4">
      <c r="A147" s="184">
        <f t="shared" si="6"/>
        <v>142</v>
      </c>
      <c r="B147" s="11" t="s">
        <v>102</v>
      </c>
      <c r="C147" s="12">
        <v>26</v>
      </c>
      <c r="D147" s="155" t="s">
        <v>104</v>
      </c>
      <c r="E147" s="185">
        <v>2</v>
      </c>
      <c r="F147" s="186" t="e">
        <f>'DETAILED UNIT AREA TABULATION'!#REF!</f>
        <v>#REF!</v>
      </c>
      <c r="G147" s="186" t="e">
        <f>'DETAILED UNIT AREA TABULATION'!#REF!</f>
        <v>#REF!</v>
      </c>
      <c r="H147" s="187"/>
      <c r="I147" s="190" t="e">
        <f>'DETAILED UNIT AREA TABULATION'!#REF!</f>
        <v>#REF!</v>
      </c>
      <c r="J147" s="205" t="e">
        <f t="shared" si="5"/>
        <v>#REF!</v>
      </c>
      <c r="K147" s="188" t="e">
        <f>'DETAILED UNIT AREA TABULATION'!#REF!</f>
        <v>#REF!</v>
      </c>
      <c r="L147" s="191">
        <v>1</v>
      </c>
    </row>
    <row r="148" spans="1:12" ht="15" thickBot="1" x14ac:dyDescent="0.4">
      <c r="A148" s="184">
        <f t="shared" si="6"/>
        <v>143</v>
      </c>
      <c r="B148" s="11" t="s">
        <v>102</v>
      </c>
      <c r="C148" s="12">
        <v>27</v>
      </c>
      <c r="D148" s="172" t="s">
        <v>33</v>
      </c>
      <c r="E148" s="185">
        <v>2</v>
      </c>
      <c r="F148" s="186" t="e">
        <f>'DETAILED UNIT AREA TABULATION'!#REF!</f>
        <v>#REF!</v>
      </c>
      <c r="G148" s="186" t="e">
        <f>'DETAILED UNIT AREA TABULATION'!#REF!</f>
        <v>#REF!</v>
      </c>
      <c r="H148" s="187"/>
      <c r="I148" s="190" t="e">
        <f>'DETAILED UNIT AREA TABULATION'!#REF!</f>
        <v>#REF!</v>
      </c>
      <c r="J148" s="205" t="e">
        <f t="shared" si="5"/>
        <v>#REF!</v>
      </c>
      <c r="K148" s="188" t="e">
        <f>'DETAILED UNIT AREA TABULATION'!#REF!</f>
        <v>#REF!</v>
      </c>
      <c r="L148" s="191">
        <v>1</v>
      </c>
    </row>
    <row r="149" spans="1:12" ht="15" thickBot="1" x14ac:dyDescent="0.4">
      <c r="A149" s="184">
        <f t="shared" si="6"/>
        <v>144</v>
      </c>
      <c r="B149" s="11" t="s">
        <v>102</v>
      </c>
      <c r="C149" s="12">
        <v>28</v>
      </c>
      <c r="D149" s="156" t="s">
        <v>33</v>
      </c>
      <c r="E149" s="173">
        <v>2</v>
      </c>
      <c r="F149" s="186" t="e">
        <f>'DETAILED UNIT AREA TABULATION'!#REF!</f>
        <v>#REF!</v>
      </c>
      <c r="G149" s="186" t="e">
        <f>'DETAILED UNIT AREA TABULATION'!#REF!</f>
        <v>#REF!</v>
      </c>
      <c r="H149" s="192"/>
      <c r="I149" s="193" t="e">
        <f>'DETAILED UNIT AREA TABULATION'!#REF!</f>
        <v>#REF!</v>
      </c>
      <c r="J149" s="206" t="e">
        <f t="shared" si="5"/>
        <v>#REF!</v>
      </c>
      <c r="K149" s="188" t="e">
        <f>'DETAILED UNIT AREA TABULATION'!#REF!</f>
        <v>#REF!</v>
      </c>
      <c r="L149" s="191">
        <v>1</v>
      </c>
    </row>
    <row r="150" spans="1:12" ht="15" thickBot="1" x14ac:dyDescent="0.4">
      <c r="A150" s="184">
        <f t="shared" si="6"/>
        <v>145</v>
      </c>
      <c r="B150" s="11" t="s">
        <v>102</v>
      </c>
      <c r="C150" s="12">
        <v>31</v>
      </c>
      <c r="D150" s="154" t="s">
        <v>35</v>
      </c>
      <c r="E150" s="185">
        <v>3</v>
      </c>
      <c r="F150" s="186" t="e">
        <f>'DETAILED UNIT AREA TABULATION'!#REF!</f>
        <v>#REF!</v>
      </c>
      <c r="G150" s="186" t="e">
        <f>'DETAILED UNIT AREA TABULATION'!#REF!</f>
        <v>#REF!</v>
      </c>
      <c r="H150" s="187"/>
      <c r="I150" s="190" t="e">
        <f>'DETAILED UNIT AREA TABULATION'!#REF!</f>
        <v>#REF!</v>
      </c>
      <c r="J150" s="205" t="e">
        <f t="shared" si="5"/>
        <v>#REF!</v>
      </c>
      <c r="K150" s="188" t="e">
        <f>'DETAILED UNIT AREA TABULATION'!#REF!</f>
        <v>#REF!</v>
      </c>
      <c r="L150" s="191">
        <v>1</v>
      </c>
    </row>
    <row r="151" spans="1:12" ht="15" thickBot="1" x14ac:dyDescent="0.4">
      <c r="A151" s="184">
        <f t="shared" si="6"/>
        <v>146</v>
      </c>
      <c r="B151" s="11" t="s">
        <v>102</v>
      </c>
      <c r="C151" s="12">
        <v>32</v>
      </c>
      <c r="D151" s="155" t="s">
        <v>35</v>
      </c>
      <c r="E151" s="185">
        <v>3</v>
      </c>
      <c r="F151" s="186" t="e">
        <f>'DETAILED UNIT AREA TABULATION'!#REF!</f>
        <v>#REF!</v>
      </c>
      <c r="G151" s="186" t="e">
        <f>'DETAILED UNIT AREA TABULATION'!#REF!</f>
        <v>#REF!</v>
      </c>
      <c r="H151" s="187"/>
      <c r="I151" s="190" t="e">
        <f>'DETAILED UNIT AREA TABULATION'!#REF!</f>
        <v>#REF!</v>
      </c>
      <c r="J151" s="205" t="e">
        <f t="shared" si="5"/>
        <v>#REF!</v>
      </c>
      <c r="K151" s="188" t="e">
        <f>'DETAILED UNIT AREA TABULATION'!#REF!</f>
        <v>#REF!</v>
      </c>
      <c r="L151" s="191">
        <v>1</v>
      </c>
    </row>
    <row r="152" spans="1:12" ht="15" thickBot="1" x14ac:dyDescent="0.4">
      <c r="A152" s="184">
        <f t="shared" si="6"/>
        <v>147</v>
      </c>
      <c r="B152" s="11" t="s">
        <v>102</v>
      </c>
      <c r="C152" s="12">
        <v>33</v>
      </c>
      <c r="D152" s="155" t="s">
        <v>35</v>
      </c>
      <c r="E152" s="185">
        <v>3</v>
      </c>
      <c r="F152" s="186" t="e">
        <f>'DETAILED UNIT AREA TABULATION'!#REF!</f>
        <v>#REF!</v>
      </c>
      <c r="G152" s="186" t="e">
        <f>'DETAILED UNIT AREA TABULATION'!#REF!</f>
        <v>#REF!</v>
      </c>
      <c r="H152" s="187"/>
      <c r="I152" s="190" t="e">
        <f>'DETAILED UNIT AREA TABULATION'!#REF!</f>
        <v>#REF!</v>
      </c>
      <c r="J152" s="205" t="e">
        <f t="shared" si="5"/>
        <v>#REF!</v>
      </c>
      <c r="K152" s="188" t="e">
        <f>'DETAILED UNIT AREA TABULATION'!#REF!</f>
        <v>#REF!</v>
      </c>
      <c r="L152" s="191">
        <v>1</v>
      </c>
    </row>
    <row r="153" spans="1:12" ht="15" thickBot="1" x14ac:dyDescent="0.4">
      <c r="A153" s="184">
        <f t="shared" si="6"/>
        <v>148</v>
      </c>
      <c r="B153" s="11" t="s">
        <v>102</v>
      </c>
      <c r="C153" s="12">
        <v>34</v>
      </c>
      <c r="D153" s="155" t="s">
        <v>35</v>
      </c>
      <c r="E153" s="185">
        <v>3</v>
      </c>
      <c r="F153" s="186" t="e">
        <f>'DETAILED UNIT AREA TABULATION'!#REF!</f>
        <v>#REF!</v>
      </c>
      <c r="G153" s="186" t="e">
        <f>'DETAILED UNIT AREA TABULATION'!#REF!</f>
        <v>#REF!</v>
      </c>
      <c r="H153" s="187"/>
      <c r="I153" s="190" t="e">
        <f>'DETAILED UNIT AREA TABULATION'!#REF!</f>
        <v>#REF!</v>
      </c>
      <c r="J153" s="205" t="e">
        <f t="shared" si="5"/>
        <v>#REF!</v>
      </c>
      <c r="K153" s="188" t="e">
        <f>'DETAILED UNIT AREA TABULATION'!#REF!</f>
        <v>#REF!</v>
      </c>
      <c r="L153" s="191">
        <v>1</v>
      </c>
    </row>
    <row r="154" spans="1:12" ht="15" thickBot="1" x14ac:dyDescent="0.4">
      <c r="A154" s="184">
        <f t="shared" si="6"/>
        <v>149</v>
      </c>
      <c r="B154" s="11" t="s">
        <v>102</v>
      </c>
      <c r="C154" s="12">
        <v>35</v>
      </c>
      <c r="D154" s="155" t="s">
        <v>104</v>
      </c>
      <c r="E154" s="185">
        <v>3</v>
      </c>
      <c r="F154" s="186" t="e">
        <f>'DETAILED UNIT AREA TABULATION'!#REF!</f>
        <v>#REF!</v>
      </c>
      <c r="G154" s="186" t="e">
        <f>'DETAILED UNIT AREA TABULATION'!#REF!</f>
        <v>#REF!</v>
      </c>
      <c r="H154" s="187"/>
      <c r="I154" s="190" t="e">
        <f>'DETAILED UNIT AREA TABULATION'!#REF!</f>
        <v>#REF!</v>
      </c>
      <c r="J154" s="205" t="e">
        <f t="shared" si="5"/>
        <v>#REF!</v>
      </c>
      <c r="K154" s="188" t="e">
        <f>'DETAILED UNIT AREA TABULATION'!#REF!</f>
        <v>#REF!</v>
      </c>
      <c r="L154" s="191">
        <v>1</v>
      </c>
    </row>
    <row r="155" spans="1:12" ht="15" thickBot="1" x14ac:dyDescent="0.4">
      <c r="A155" s="184">
        <f t="shared" si="6"/>
        <v>150</v>
      </c>
      <c r="B155" s="11" t="s">
        <v>102</v>
      </c>
      <c r="C155" s="12">
        <v>36</v>
      </c>
      <c r="D155" s="155" t="s">
        <v>104</v>
      </c>
      <c r="E155" s="185">
        <v>3</v>
      </c>
      <c r="F155" s="186" t="e">
        <f>'DETAILED UNIT AREA TABULATION'!#REF!</f>
        <v>#REF!</v>
      </c>
      <c r="G155" s="186" t="e">
        <f>'DETAILED UNIT AREA TABULATION'!#REF!</f>
        <v>#REF!</v>
      </c>
      <c r="H155" s="187"/>
      <c r="I155" s="190" t="e">
        <f>'DETAILED UNIT AREA TABULATION'!#REF!</f>
        <v>#REF!</v>
      </c>
      <c r="J155" s="205" t="e">
        <f t="shared" si="5"/>
        <v>#REF!</v>
      </c>
      <c r="K155" s="188" t="e">
        <f>'DETAILED UNIT AREA TABULATION'!#REF!</f>
        <v>#REF!</v>
      </c>
      <c r="L155" s="191">
        <v>1</v>
      </c>
    </row>
    <row r="156" spans="1:12" ht="15" thickBot="1" x14ac:dyDescent="0.4">
      <c r="A156" s="184">
        <f t="shared" si="6"/>
        <v>151</v>
      </c>
      <c r="B156" s="11" t="s">
        <v>102</v>
      </c>
      <c r="C156" s="12">
        <v>37</v>
      </c>
      <c r="D156" s="172" t="s">
        <v>33</v>
      </c>
      <c r="E156" s="185">
        <v>3</v>
      </c>
      <c r="F156" s="186" t="e">
        <f>'DETAILED UNIT AREA TABULATION'!#REF!</f>
        <v>#REF!</v>
      </c>
      <c r="G156" s="186" t="e">
        <f>'DETAILED UNIT AREA TABULATION'!#REF!</f>
        <v>#REF!</v>
      </c>
      <c r="H156" s="187"/>
      <c r="I156" s="190" t="e">
        <f>'DETAILED UNIT AREA TABULATION'!#REF!</f>
        <v>#REF!</v>
      </c>
      <c r="J156" s="205" t="e">
        <f t="shared" si="5"/>
        <v>#REF!</v>
      </c>
      <c r="K156" s="188" t="e">
        <f>'DETAILED UNIT AREA TABULATION'!#REF!</f>
        <v>#REF!</v>
      </c>
      <c r="L156" s="191">
        <v>1</v>
      </c>
    </row>
    <row r="157" spans="1:12" ht="15" thickBot="1" x14ac:dyDescent="0.4">
      <c r="A157" s="184">
        <f t="shared" si="6"/>
        <v>152</v>
      </c>
      <c r="B157" s="11" t="s">
        <v>102</v>
      </c>
      <c r="C157" s="12">
        <v>38</v>
      </c>
      <c r="D157" s="156" t="s">
        <v>33</v>
      </c>
      <c r="E157" s="173">
        <v>3</v>
      </c>
      <c r="F157" s="186" t="e">
        <f>'DETAILED UNIT AREA TABULATION'!#REF!</f>
        <v>#REF!</v>
      </c>
      <c r="G157" s="186" t="e">
        <f>'DETAILED UNIT AREA TABULATION'!#REF!</f>
        <v>#REF!</v>
      </c>
      <c r="H157" s="192"/>
      <c r="I157" s="193" t="e">
        <f>'DETAILED UNIT AREA TABULATION'!#REF!</f>
        <v>#REF!</v>
      </c>
      <c r="J157" s="206" t="e">
        <f t="shared" si="5"/>
        <v>#REF!</v>
      </c>
      <c r="K157" s="188" t="e">
        <f>'DETAILED UNIT AREA TABULATION'!#REF!</f>
        <v>#REF!</v>
      </c>
      <c r="L157" s="191">
        <v>1</v>
      </c>
    </row>
    <row r="158" spans="1:12" ht="15" thickBot="1" x14ac:dyDescent="0.4">
      <c r="A158" s="184">
        <f t="shared" si="6"/>
        <v>153</v>
      </c>
      <c r="B158" s="11" t="s">
        <v>102</v>
      </c>
      <c r="C158" s="12">
        <v>41</v>
      </c>
      <c r="D158" s="154" t="s">
        <v>35</v>
      </c>
      <c r="E158" s="185">
        <v>4</v>
      </c>
      <c r="F158" s="186" t="e">
        <f>'DETAILED UNIT AREA TABULATION'!#REF!</f>
        <v>#REF!</v>
      </c>
      <c r="G158" s="186" t="e">
        <f>'DETAILED UNIT AREA TABULATION'!#REF!</f>
        <v>#REF!</v>
      </c>
      <c r="H158" s="187"/>
      <c r="I158" s="190" t="e">
        <f>'DETAILED UNIT AREA TABULATION'!#REF!</f>
        <v>#REF!</v>
      </c>
      <c r="J158" s="205" t="e">
        <f t="shared" si="5"/>
        <v>#REF!</v>
      </c>
      <c r="K158" s="188" t="e">
        <f>'DETAILED UNIT AREA TABULATION'!#REF!</f>
        <v>#REF!</v>
      </c>
      <c r="L158" s="191">
        <v>1</v>
      </c>
    </row>
    <row r="159" spans="1:12" ht="15" thickBot="1" x14ac:dyDescent="0.4">
      <c r="A159" s="184">
        <f t="shared" si="6"/>
        <v>154</v>
      </c>
      <c r="B159" s="11" t="s">
        <v>102</v>
      </c>
      <c r="C159" s="12">
        <v>42</v>
      </c>
      <c r="D159" s="155" t="s">
        <v>35</v>
      </c>
      <c r="E159" s="185">
        <v>4</v>
      </c>
      <c r="F159" s="186" t="e">
        <f>'DETAILED UNIT AREA TABULATION'!#REF!</f>
        <v>#REF!</v>
      </c>
      <c r="G159" s="186" t="e">
        <f>'DETAILED UNIT AREA TABULATION'!#REF!</f>
        <v>#REF!</v>
      </c>
      <c r="H159" s="187"/>
      <c r="I159" s="190" t="e">
        <f>'DETAILED UNIT AREA TABULATION'!#REF!</f>
        <v>#REF!</v>
      </c>
      <c r="J159" s="205" t="e">
        <f t="shared" si="5"/>
        <v>#REF!</v>
      </c>
      <c r="K159" s="188" t="e">
        <f>'DETAILED UNIT AREA TABULATION'!#REF!</f>
        <v>#REF!</v>
      </c>
      <c r="L159" s="191">
        <v>1</v>
      </c>
    </row>
    <row r="160" spans="1:12" ht="15" thickBot="1" x14ac:dyDescent="0.4">
      <c r="A160" s="184">
        <f t="shared" si="6"/>
        <v>155</v>
      </c>
      <c r="B160" s="11" t="s">
        <v>102</v>
      </c>
      <c r="C160" s="12">
        <v>43</v>
      </c>
      <c r="D160" s="155" t="s">
        <v>35</v>
      </c>
      <c r="E160" s="185">
        <v>4</v>
      </c>
      <c r="F160" s="186" t="e">
        <f>'DETAILED UNIT AREA TABULATION'!#REF!</f>
        <v>#REF!</v>
      </c>
      <c r="G160" s="186" t="e">
        <f>'DETAILED UNIT AREA TABULATION'!#REF!</f>
        <v>#REF!</v>
      </c>
      <c r="H160" s="187"/>
      <c r="I160" s="190" t="e">
        <f>'DETAILED UNIT AREA TABULATION'!#REF!</f>
        <v>#REF!</v>
      </c>
      <c r="J160" s="205" t="e">
        <f t="shared" si="5"/>
        <v>#REF!</v>
      </c>
      <c r="K160" s="188" t="e">
        <f>'DETAILED UNIT AREA TABULATION'!#REF!</f>
        <v>#REF!</v>
      </c>
      <c r="L160" s="191">
        <v>1</v>
      </c>
    </row>
    <row r="161" spans="1:12" ht="15" thickBot="1" x14ac:dyDescent="0.4">
      <c r="A161" s="184">
        <f t="shared" si="6"/>
        <v>156</v>
      </c>
      <c r="B161" s="11" t="s">
        <v>102</v>
      </c>
      <c r="C161" s="12">
        <v>44</v>
      </c>
      <c r="D161" s="155" t="s">
        <v>35</v>
      </c>
      <c r="E161" s="185">
        <v>4</v>
      </c>
      <c r="F161" s="186" t="e">
        <f>'DETAILED UNIT AREA TABULATION'!#REF!</f>
        <v>#REF!</v>
      </c>
      <c r="G161" s="186" t="e">
        <f>'DETAILED UNIT AREA TABULATION'!#REF!</f>
        <v>#REF!</v>
      </c>
      <c r="H161" s="187"/>
      <c r="I161" s="190" t="e">
        <f>'DETAILED UNIT AREA TABULATION'!#REF!</f>
        <v>#REF!</v>
      </c>
      <c r="J161" s="205" t="e">
        <f t="shared" si="5"/>
        <v>#REF!</v>
      </c>
      <c r="K161" s="188" t="e">
        <f>'DETAILED UNIT AREA TABULATION'!#REF!</f>
        <v>#REF!</v>
      </c>
      <c r="L161" s="191">
        <v>1</v>
      </c>
    </row>
    <row r="162" spans="1:12" ht="15" thickBot="1" x14ac:dyDescent="0.4">
      <c r="A162" s="184">
        <f t="shared" si="6"/>
        <v>157</v>
      </c>
      <c r="B162" s="11" t="s">
        <v>102</v>
      </c>
      <c r="C162" s="12">
        <v>45</v>
      </c>
      <c r="D162" s="155" t="s">
        <v>104</v>
      </c>
      <c r="E162" s="185">
        <v>4</v>
      </c>
      <c r="F162" s="186" t="e">
        <f>'DETAILED UNIT AREA TABULATION'!#REF!</f>
        <v>#REF!</v>
      </c>
      <c r="G162" s="186" t="e">
        <f>'DETAILED UNIT AREA TABULATION'!#REF!</f>
        <v>#REF!</v>
      </c>
      <c r="H162" s="187"/>
      <c r="I162" s="190" t="e">
        <f>'DETAILED UNIT AREA TABULATION'!#REF!</f>
        <v>#REF!</v>
      </c>
      <c r="J162" s="205" t="e">
        <f t="shared" si="5"/>
        <v>#REF!</v>
      </c>
      <c r="K162" s="188" t="e">
        <f>'DETAILED UNIT AREA TABULATION'!#REF!</f>
        <v>#REF!</v>
      </c>
      <c r="L162" s="191">
        <v>1</v>
      </c>
    </row>
    <row r="163" spans="1:12" ht="15" thickBot="1" x14ac:dyDescent="0.4">
      <c r="A163" s="184">
        <f t="shared" si="6"/>
        <v>158</v>
      </c>
      <c r="B163" s="11" t="s">
        <v>102</v>
      </c>
      <c r="C163" s="12">
        <v>46</v>
      </c>
      <c r="D163" s="155" t="s">
        <v>104</v>
      </c>
      <c r="E163" s="185">
        <v>4</v>
      </c>
      <c r="F163" s="186" t="e">
        <f>'DETAILED UNIT AREA TABULATION'!#REF!</f>
        <v>#REF!</v>
      </c>
      <c r="G163" s="186" t="e">
        <f>'DETAILED UNIT AREA TABULATION'!#REF!</f>
        <v>#REF!</v>
      </c>
      <c r="H163" s="187"/>
      <c r="I163" s="190" t="e">
        <f>'DETAILED UNIT AREA TABULATION'!#REF!</f>
        <v>#REF!</v>
      </c>
      <c r="J163" s="205" t="e">
        <f t="shared" si="5"/>
        <v>#REF!</v>
      </c>
      <c r="K163" s="188" t="e">
        <f>'DETAILED UNIT AREA TABULATION'!#REF!</f>
        <v>#REF!</v>
      </c>
      <c r="L163" s="191">
        <v>1</v>
      </c>
    </row>
    <row r="164" spans="1:12" ht="15" thickBot="1" x14ac:dyDescent="0.4">
      <c r="A164" s="184">
        <f t="shared" si="6"/>
        <v>159</v>
      </c>
      <c r="B164" s="11" t="s">
        <v>102</v>
      </c>
      <c r="C164" s="12">
        <v>47</v>
      </c>
      <c r="D164" s="172" t="s">
        <v>33</v>
      </c>
      <c r="E164" s="185">
        <v>4</v>
      </c>
      <c r="F164" s="186" t="e">
        <f>'DETAILED UNIT AREA TABULATION'!#REF!</f>
        <v>#REF!</v>
      </c>
      <c r="G164" s="186" t="e">
        <f>'DETAILED UNIT AREA TABULATION'!#REF!</f>
        <v>#REF!</v>
      </c>
      <c r="H164" s="187"/>
      <c r="I164" s="190" t="e">
        <f>'DETAILED UNIT AREA TABULATION'!#REF!</f>
        <v>#REF!</v>
      </c>
      <c r="J164" s="205" t="e">
        <f t="shared" si="5"/>
        <v>#REF!</v>
      </c>
      <c r="K164" s="188" t="e">
        <f>'DETAILED UNIT AREA TABULATION'!#REF!</f>
        <v>#REF!</v>
      </c>
      <c r="L164" s="191">
        <v>1</v>
      </c>
    </row>
    <row r="165" spans="1:12" ht="15" thickBot="1" x14ac:dyDescent="0.4">
      <c r="A165" s="184">
        <f t="shared" si="6"/>
        <v>160</v>
      </c>
      <c r="B165" s="11" t="s">
        <v>102</v>
      </c>
      <c r="C165" s="12">
        <v>48</v>
      </c>
      <c r="D165" s="156" t="s">
        <v>33</v>
      </c>
      <c r="E165" s="173">
        <v>4</v>
      </c>
      <c r="F165" s="186" t="e">
        <f>'DETAILED UNIT AREA TABULATION'!#REF!</f>
        <v>#REF!</v>
      </c>
      <c r="G165" s="186" t="e">
        <f>'DETAILED UNIT AREA TABULATION'!#REF!</f>
        <v>#REF!</v>
      </c>
      <c r="H165" s="192"/>
      <c r="I165" s="193" t="e">
        <f>'DETAILED UNIT AREA TABULATION'!#REF!</f>
        <v>#REF!</v>
      </c>
      <c r="J165" s="206" t="e">
        <f t="shared" si="5"/>
        <v>#REF!</v>
      </c>
      <c r="K165" s="188" t="e">
        <f>'DETAILED UNIT AREA TABULATION'!#REF!</f>
        <v>#REF!</v>
      </c>
      <c r="L165" s="191">
        <v>1</v>
      </c>
    </row>
    <row r="166" spans="1:12" ht="15" thickBot="1" x14ac:dyDescent="0.4">
      <c r="A166" s="184">
        <f t="shared" si="6"/>
        <v>161</v>
      </c>
      <c r="B166" s="11" t="s">
        <v>102</v>
      </c>
      <c r="C166" s="12">
        <v>51</v>
      </c>
      <c r="D166" s="154" t="s">
        <v>35</v>
      </c>
      <c r="E166" s="185">
        <v>5</v>
      </c>
      <c r="F166" s="186" t="e">
        <f>'DETAILED UNIT AREA TABULATION'!#REF!</f>
        <v>#REF!</v>
      </c>
      <c r="G166" s="186" t="e">
        <f>'DETAILED UNIT AREA TABULATION'!#REF!</f>
        <v>#REF!</v>
      </c>
      <c r="H166" s="187"/>
      <c r="I166" s="190" t="e">
        <f>'DETAILED UNIT AREA TABULATION'!#REF!</f>
        <v>#REF!</v>
      </c>
      <c r="J166" s="205" t="e">
        <f t="shared" si="5"/>
        <v>#REF!</v>
      </c>
      <c r="K166" s="188" t="e">
        <f>'DETAILED UNIT AREA TABULATION'!#REF!</f>
        <v>#REF!</v>
      </c>
      <c r="L166" s="191">
        <v>1</v>
      </c>
    </row>
    <row r="167" spans="1:12" ht="15" thickBot="1" x14ac:dyDescent="0.4">
      <c r="A167" s="184">
        <f t="shared" si="6"/>
        <v>162</v>
      </c>
      <c r="B167" s="11" t="s">
        <v>102</v>
      </c>
      <c r="C167" s="12">
        <v>52</v>
      </c>
      <c r="D167" s="155" t="s">
        <v>35</v>
      </c>
      <c r="E167" s="185">
        <v>5</v>
      </c>
      <c r="F167" s="186" t="e">
        <f>'DETAILED UNIT AREA TABULATION'!#REF!</f>
        <v>#REF!</v>
      </c>
      <c r="G167" s="186" t="e">
        <f>'DETAILED UNIT AREA TABULATION'!#REF!</f>
        <v>#REF!</v>
      </c>
      <c r="H167" s="187"/>
      <c r="I167" s="190" t="e">
        <f>'DETAILED UNIT AREA TABULATION'!#REF!</f>
        <v>#REF!</v>
      </c>
      <c r="J167" s="205" t="e">
        <f t="shared" si="5"/>
        <v>#REF!</v>
      </c>
      <c r="K167" s="188" t="e">
        <f>'DETAILED UNIT AREA TABULATION'!#REF!</f>
        <v>#REF!</v>
      </c>
      <c r="L167" s="191">
        <v>1</v>
      </c>
    </row>
    <row r="168" spans="1:12" ht="15" thickBot="1" x14ac:dyDescent="0.4">
      <c r="A168" s="184">
        <f t="shared" si="6"/>
        <v>163</v>
      </c>
      <c r="B168" s="11" t="s">
        <v>102</v>
      </c>
      <c r="C168" s="12">
        <v>53</v>
      </c>
      <c r="D168" s="155" t="s">
        <v>35</v>
      </c>
      <c r="E168" s="185">
        <v>5</v>
      </c>
      <c r="F168" s="186" t="e">
        <f>'DETAILED UNIT AREA TABULATION'!#REF!</f>
        <v>#REF!</v>
      </c>
      <c r="G168" s="186" t="e">
        <f>'DETAILED UNIT AREA TABULATION'!#REF!</f>
        <v>#REF!</v>
      </c>
      <c r="H168" s="187"/>
      <c r="I168" s="190" t="e">
        <f>'DETAILED UNIT AREA TABULATION'!#REF!</f>
        <v>#REF!</v>
      </c>
      <c r="J168" s="205" t="e">
        <f t="shared" si="5"/>
        <v>#REF!</v>
      </c>
      <c r="K168" s="188" t="e">
        <f>'DETAILED UNIT AREA TABULATION'!#REF!</f>
        <v>#REF!</v>
      </c>
      <c r="L168" s="191">
        <v>1</v>
      </c>
    </row>
    <row r="169" spans="1:12" ht="15" thickBot="1" x14ac:dyDescent="0.4">
      <c r="A169" s="184">
        <f t="shared" si="6"/>
        <v>164</v>
      </c>
      <c r="B169" s="11" t="s">
        <v>102</v>
      </c>
      <c r="C169" s="12">
        <v>54</v>
      </c>
      <c r="D169" s="155" t="s">
        <v>35</v>
      </c>
      <c r="E169" s="185">
        <v>5</v>
      </c>
      <c r="F169" s="186" t="e">
        <f>'DETAILED UNIT AREA TABULATION'!#REF!</f>
        <v>#REF!</v>
      </c>
      <c r="G169" s="186" t="e">
        <f>'DETAILED UNIT AREA TABULATION'!#REF!</f>
        <v>#REF!</v>
      </c>
      <c r="H169" s="187"/>
      <c r="I169" s="190" t="e">
        <f>'DETAILED UNIT AREA TABULATION'!#REF!</f>
        <v>#REF!</v>
      </c>
      <c r="J169" s="205" t="e">
        <f t="shared" si="5"/>
        <v>#REF!</v>
      </c>
      <c r="K169" s="188" t="e">
        <f>'DETAILED UNIT AREA TABULATION'!#REF!</f>
        <v>#REF!</v>
      </c>
      <c r="L169" s="191">
        <v>1</v>
      </c>
    </row>
    <row r="170" spans="1:12" ht="15" thickBot="1" x14ac:dyDescent="0.4">
      <c r="A170" s="184">
        <f t="shared" si="6"/>
        <v>165</v>
      </c>
      <c r="B170" s="11" t="s">
        <v>102</v>
      </c>
      <c r="C170" s="12">
        <v>55</v>
      </c>
      <c r="D170" s="155" t="s">
        <v>104</v>
      </c>
      <c r="E170" s="185">
        <v>5</v>
      </c>
      <c r="F170" s="186" t="e">
        <f>'DETAILED UNIT AREA TABULATION'!#REF!</f>
        <v>#REF!</v>
      </c>
      <c r="G170" s="186" t="e">
        <f>'DETAILED UNIT AREA TABULATION'!#REF!</f>
        <v>#REF!</v>
      </c>
      <c r="H170" s="187"/>
      <c r="I170" s="190" t="e">
        <f>'DETAILED UNIT AREA TABULATION'!#REF!</f>
        <v>#REF!</v>
      </c>
      <c r="J170" s="205" t="e">
        <f t="shared" si="5"/>
        <v>#REF!</v>
      </c>
      <c r="K170" s="188" t="e">
        <f>'DETAILED UNIT AREA TABULATION'!#REF!</f>
        <v>#REF!</v>
      </c>
      <c r="L170" s="191">
        <v>1</v>
      </c>
    </row>
    <row r="171" spans="1:12" ht="15" thickBot="1" x14ac:dyDescent="0.4">
      <c r="A171" s="184">
        <f t="shared" si="6"/>
        <v>166</v>
      </c>
      <c r="B171" s="11" t="s">
        <v>102</v>
      </c>
      <c r="C171" s="12">
        <v>56</v>
      </c>
      <c r="D171" s="155" t="s">
        <v>104</v>
      </c>
      <c r="E171" s="185">
        <v>5</v>
      </c>
      <c r="F171" s="186" t="e">
        <f>'DETAILED UNIT AREA TABULATION'!#REF!</f>
        <v>#REF!</v>
      </c>
      <c r="G171" s="186" t="e">
        <f>'DETAILED UNIT AREA TABULATION'!#REF!</f>
        <v>#REF!</v>
      </c>
      <c r="H171" s="187"/>
      <c r="I171" s="190" t="e">
        <f>'DETAILED UNIT AREA TABULATION'!#REF!</f>
        <v>#REF!</v>
      </c>
      <c r="J171" s="205" t="e">
        <f t="shared" si="5"/>
        <v>#REF!</v>
      </c>
      <c r="K171" s="188" t="e">
        <f>'DETAILED UNIT AREA TABULATION'!#REF!</f>
        <v>#REF!</v>
      </c>
      <c r="L171" s="191">
        <v>1</v>
      </c>
    </row>
    <row r="172" spans="1:12" ht="15" thickBot="1" x14ac:dyDescent="0.4">
      <c r="A172" s="184">
        <f t="shared" si="6"/>
        <v>167</v>
      </c>
      <c r="B172" s="11" t="s">
        <v>102</v>
      </c>
      <c r="C172" s="12">
        <v>57</v>
      </c>
      <c r="D172" s="172" t="s">
        <v>33</v>
      </c>
      <c r="E172" s="185">
        <v>5</v>
      </c>
      <c r="F172" s="186" t="e">
        <f>'DETAILED UNIT AREA TABULATION'!#REF!</f>
        <v>#REF!</v>
      </c>
      <c r="G172" s="186" t="e">
        <f>'DETAILED UNIT AREA TABULATION'!#REF!</f>
        <v>#REF!</v>
      </c>
      <c r="H172" s="187"/>
      <c r="I172" s="190" t="e">
        <f>'DETAILED UNIT AREA TABULATION'!#REF!</f>
        <v>#REF!</v>
      </c>
      <c r="J172" s="205" t="e">
        <f t="shared" si="5"/>
        <v>#REF!</v>
      </c>
      <c r="K172" s="188" t="e">
        <f>'DETAILED UNIT AREA TABULATION'!#REF!</f>
        <v>#REF!</v>
      </c>
      <c r="L172" s="191">
        <v>1</v>
      </c>
    </row>
    <row r="173" spans="1:12" ht="15" thickBot="1" x14ac:dyDescent="0.4">
      <c r="A173" s="184">
        <f t="shared" si="6"/>
        <v>168</v>
      </c>
      <c r="B173" s="11" t="s">
        <v>102</v>
      </c>
      <c r="C173" s="12">
        <v>58</v>
      </c>
      <c r="D173" s="156" t="s">
        <v>33</v>
      </c>
      <c r="E173" s="173">
        <v>5</v>
      </c>
      <c r="F173" s="186" t="e">
        <f>'DETAILED UNIT AREA TABULATION'!#REF!</f>
        <v>#REF!</v>
      </c>
      <c r="G173" s="186" t="e">
        <f>'DETAILED UNIT AREA TABULATION'!#REF!</f>
        <v>#REF!</v>
      </c>
      <c r="H173" s="192"/>
      <c r="I173" s="193" t="e">
        <f>'DETAILED UNIT AREA TABULATION'!#REF!</f>
        <v>#REF!</v>
      </c>
      <c r="J173" s="206" t="e">
        <f t="shared" si="5"/>
        <v>#REF!</v>
      </c>
      <c r="K173" s="188" t="e">
        <f>'DETAILED UNIT AREA TABULATION'!#REF!</f>
        <v>#REF!</v>
      </c>
      <c r="L173" s="191">
        <v>1</v>
      </c>
    </row>
    <row r="174" spans="1:12" ht="15" thickBot="1" x14ac:dyDescent="0.4">
      <c r="A174" s="184">
        <f t="shared" si="6"/>
        <v>169</v>
      </c>
      <c r="B174" s="11" t="s">
        <v>102</v>
      </c>
      <c r="C174" s="12">
        <v>61</v>
      </c>
      <c r="D174" s="154" t="s">
        <v>35</v>
      </c>
      <c r="E174" s="185">
        <v>6</v>
      </c>
      <c r="F174" s="186" t="e">
        <f>'DETAILED UNIT AREA TABULATION'!#REF!</f>
        <v>#REF!</v>
      </c>
      <c r="G174" s="186" t="e">
        <f>'DETAILED UNIT AREA TABULATION'!#REF!</f>
        <v>#REF!</v>
      </c>
      <c r="H174" s="187"/>
      <c r="I174" s="190" t="e">
        <f>'DETAILED UNIT AREA TABULATION'!#REF!</f>
        <v>#REF!</v>
      </c>
      <c r="J174" s="205" t="e">
        <f t="shared" si="5"/>
        <v>#REF!</v>
      </c>
      <c r="K174" s="188" t="e">
        <f>'DETAILED UNIT AREA TABULATION'!#REF!</f>
        <v>#REF!</v>
      </c>
      <c r="L174" s="191">
        <v>1</v>
      </c>
    </row>
    <row r="175" spans="1:12" ht="15" thickBot="1" x14ac:dyDescent="0.4">
      <c r="A175" s="184">
        <f t="shared" si="6"/>
        <v>170</v>
      </c>
      <c r="B175" s="11" t="s">
        <v>102</v>
      </c>
      <c r="C175" s="12">
        <v>62</v>
      </c>
      <c r="D175" s="155" t="s">
        <v>35</v>
      </c>
      <c r="E175" s="185">
        <v>6</v>
      </c>
      <c r="F175" s="186" t="e">
        <f>'DETAILED UNIT AREA TABULATION'!#REF!</f>
        <v>#REF!</v>
      </c>
      <c r="G175" s="186" t="e">
        <f>'DETAILED UNIT AREA TABULATION'!#REF!</f>
        <v>#REF!</v>
      </c>
      <c r="H175" s="187"/>
      <c r="I175" s="190" t="e">
        <f>'DETAILED UNIT AREA TABULATION'!#REF!</f>
        <v>#REF!</v>
      </c>
      <c r="J175" s="205" t="e">
        <f t="shared" si="5"/>
        <v>#REF!</v>
      </c>
      <c r="K175" s="188" t="e">
        <f>'DETAILED UNIT AREA TABULATION'!#REF!</f>
        <v>#REF!</v>
      </c>
      <c r="L175" s="191">
        <v>1</v>
      </c>
    </row>
    <row r="176" spans="1:12" ht="15" thickBot="1" x14ac:dyDescent="0.4">
      <c r="A176" s="184">
        <f t="shared" si="6"/>
        <v>171</v>
      </c>
      <c r="B176" s="11" t="s">
        <v>102</v>
      </c>
      <c r="C176" s="12">
        <v>63</v>
      </c>
      <c r="D176" s="155" t="s">
        <v>35</v>
      </c>
      <c r="E176" s="185">
        <v>6</v>
      </c>
      <c r="F176" s="186" t="e">
        <f>'DETAILED UNIT AREA TABULATION'!#REF!</f>
        <v>#REF!</v>
      </c>
      <c r="G176" s="186" t="e">
        <f>'DETAILED UNIT AREA TABULATION'!#REF!</f>
        <v>#REF!</v>
      </c>
      <c r="H176" s="187"/>
      <c r="I176" s="190" t="e">
        <f>'DETAILED UNIT AREA TABULATION'!#REF!</f>
        <v>#REF!</v>
      </c>
      <c r="J176" s="205" t="e">
        <f t="shared" si="5"/>
        <v>#REF!</v>
      </c>
      <c r="K176" s="188" t="e">
        <f>'DETAILED UNIT AREA TABULATION'!#REF!</f>
        <v>#REF!</v>
      </c>
      <c r="L176" s="191">
        <v>1</v>
      </c>
    </row>
    <row r="177" spans="1:12" ht="15" thickBot="1" x14ac:dyDescent="0.4">
      <c r="A177" s="184">
        <f t="shared" si="6"/>
        <v>172</v>
      </c>
      <c r="B177" s="11" t="s">
        <v>102</v>
      </c>
      <c r="C177" s="12">
        <v>64</v>
      </c>
      <c r="D177" s="155" t="s">
        <v>35</v>
      </c>
      <c r="E177" s="185">
        <v>6</v>
      </c>
      <c r="F177" s="186" t="e">
        <f>'DETAILED UNIT AREA TABULATION'!#REF!</f>
        <v>#REF!</v>
      </c>
      <c r="G177" s="186" t="e">
        <f>'DETAILED UNIT AREA TABULATION'!#REF!</f>
        <v>#REF!</v>
      </c>
      <c r="H177" s="187"/>
      <c r="I177" s="190" t="e">
        <f>'DETAILED UNIT AREA TABULATION'!#REF!</f>
        <v>#REF!</v>
      </c>
      <c r="J177" s="205" t="e">
        <f t="shared" si="5"/>
        <v>#REF!</v>
      </c>
      <c r="K177" s="188" t="e">
        <f>'DETAILED UNIT AREA TABULATION'!#REF!</f>
        <v>#REF!</v>
      </c>
      <c r="L177" s="191">
        <v>1</v>
      </c>
    </row>
    <row r="178" spans="1:12" ht="15" thickBot="1" x14ac:dyDescent="0.4">
      <c r="A178" s="184">
        <f t="shared" si="6"/>
        <v>173</v>
      </c>
      <c r="B178" s="11" t="s">
        <v>102</v>
      </c>
      <c r="C178" s="12">
        <v>65</v>
      </c>
      <c r="D178" s="155" t="s">
        <v>104</v>
      </c>
      <c r="E178" s="185">
        <v>6</v>
      </c>
      <c r="F178" s="186" t="e">
        <f>'DETAILED UNIT AREA TABULATION'!#REF!</f>
        <v>#REF!</v>
      </c>
      <c r="G178" s="186" t="e">
        <f>'DETAILED UNIT AREA TABULATION'!#REF!</f>
        <v>#REF!</v>
      </c>
      <c r="H178" s="187"/>
      <c r="I178" s="190" t="e">
        <f>'DETAILED UNIT AREA TABULATION'!#REF!</f>
        <v>#REF!</v>
      </c>
      <c r="J178" s="205" t="e">
        <f t="shared" si="5"/>
        <v>#REF!</v>
      </c>
      <c r="K178" s="188" t="e">
        <f>'DETAILED UNIT AREA TABULATION'!#REF!</f>
        <v>#REF!</v>
      </c>
      <c r="L178" s="191">
        <v>1</v>
      </c>
    </row>
    <row r="179" spans="1:12" ht="15" thickBot="1" x14ac:dyDescent="0.4">
      <c r="A179" s="184">
        <f t="shared" si="6"/>
        <v>174</v>
      </c>
      <c r="B179" s="11" t="s">
        <v>102</v>
      </c>
      <c r="C179" s="12">
        <v>66</v>
      </c>
      <c r="D179" s="155" t="s">
        <v>104</v>
      </c>
      <c r="E179" s="185">
        <v>6</v>
      </c>
      <c r="F179" s="186" t="e">
        <f>'DETAILED UNIT AREA TABULATION'!#REF!</f>
        <v>#REF!</v>
      </c>
      <c r="G179" s="186" t="e">
        <f>'DETAILED UNIT AREA TABULATION'!#REF!</f>
        <v>#REF!</v>
      </c>
      <c r="H179" s="187"/>
      <c r="I179" s="190" t="e">
        <f>'DETAILED UNIT AREA TABULATION'!#REF!</f>
        <v>#REF!</v>
      </c>
      <c r="J179" s="205" t="e">
        <f t="shared" si="5"/>
        <v>#REF!</v>
      </c>
      <c r="K179" s="188" t="e">
        <f>'DETAILED UNIT AREA TABULATION'!#REF!</f>
        <v>#REF!</v>
      </c>
      <c r="L179" s="191">
        <v>1</v>
      </c>
    </row>
    <row r="180" spans="1:12" ht="15" thickBot="1" x14ac:dyDescent="0.4">
      <c r="A180" s="184">
        <f t="shared" si="6"/>
        <v>175</v>
      </c>
      <c r="B180" s="11" t="s">
        <v>102</v>
      </c>
      <c r="C180" s="12">
        <v>67</v>
      </c>
      <c r="D180" s="172" t="s">
        <v>33</v>
      </c>
      <c r="E180" s="185">
        <v>6</v>
      </c>
      <c r="F180" s="186" t="e">
        <f>'DETAILED UNIT AREA TABULATION'!#REF!</f>
        <v>#REF!</v>
      </c>
      <c r="G180" s="186" t="e">
        <f>'DETAILED UNIT AREA TABULATION'!#REF!</f>
        <v>#REF!</v>
      </c>
      <c r="H180" s="187"/>
      <c r="I180" s="190" t="e">
        <f>'DETAILED UNIT AREA TABULATION'!#REF!</f>
        <v>#REF!</v>
      </c>
      <c r="J180" s="205" t="e">
        <f t="shared" si="5"/>
        <v>#REF!</v>
      </c>
      <c r="K180" s="188" t="e">
        <f>'DETAILED UNIT AREA TABULATION'!#REF!</f>
        <v>#REF!</v>
      </c>
      <c r="L180" s="191">
        <v>1</v>
      </c>
    </row>
    <row r="181" spans="1:12" ht="15" thickBot="1" x14ac:dyDescent="0.4">
      <c r="A181" s="184">
        <f t="shared" si="6"/>
        <v>176</v>
      </c>
      <c r="B181" s="11" t="s">
        <v>102</v>
      </c>
      <c r="C181" s="12">
        <v>68</v>
      </c>
      <c r="D181" s="156" t="s">
        <v>33</v>
      </c>
      <c r="E181" s="173">
        <v>6</v>
      </c>
      <c r="F181" s="186" t="e">
        <f>'DETAILED UNIT AREA TABULATION'!#REF!</f>
        <v>#REF!</v>
      </c>
      <c r="G181" s="186" t="e">
        <f>'DETAILED UNIT AREA TABULATION'!#REF!</f>
        <v>#REF!</v>
      </c>
      <c r="H181" s="192"/>
      <c r="I181" s="193" t="e">
        <f>'DETAILED UNIT AREA TABULATION'!#REF!</f>
        <v>#REF!</v>
      </c>
      <c r="J181" s="206" t="e">
        <f t="shared" si="5"/>
        <v>#REF!</v>
      </c>
      <c r="K181" s="188" t="e">
        <f>'DETAILED UNIT AREA TABULATION'!#REF!</f>
        <v>#REF!</v>
      </c>
      <c r="L181" s="191">
        <v>1</v>
      </c>
    </row>
    <row r="182" spans="1:12" ht="15" thickBot="1" x14ac:dyDescent="0.4">
      <c r="A182" s="184">
        <f t="shared" si="6"/>
        <v>177</v>
      </c>
      <c r="B182" s="11" t="s">
        <v>102</v>
      </c>
      <c r="C182" s="12">
        <v>71</v>
      </c>
      <c r="D182" s="154" t="s">
        <v>35</v>
      </c>
      <c r="E182" s="185">
        <v>7</v>
      </c>
      <c r="F182" s="186" t="e">
        <f>'DETAILED UNIT AREA TABULATION'!#REF!</f>
        <v>#REF!</v>
      </c>
      <c r="G182" s="186" t="e">
        <f>'DETAILED UNIT AREA TABULATION'!#REF!</f>
        <v>#REF!</v>
      </c>
      <c r="H182" s="187"/>
      <c r="I182" s="190" t="e">
        <f>'DETAILED UNIT AREA TABULATION'!#REF!</f>
        <v>#REF!</v>
      </c>
      <c r="J182" s="205" t="e">
        <f t="shared" si="5"/>
        <v>#REF!</v>
      </c>
      <c r="K182" s="188" t="e">
        <f>'DETAILED UNIT AREA TABULATION'!#REF!</f>
        <v>#REF!</v>
      </c>
      <c r="L182" s="191">
        <v>1</v>
      </c>
    </row>
    <row r="183" spans="1:12" ht="15" thickBot="1" x14ac:dyDescent="0.4">
      <c r="A183" s="184">
        <f t="shared" si="6"/>
        <v>178</v>
      </c>
      <c r="B183" s="11" t="s">
        <v>102</v>
      </c>
      <c r="C183" s="12">
        <v>72</v>
      </c>
      <c r="D183" s="155" t="s">
        <v>35</v>
      </c>
      <c r="E183" s="185">
        <v>7</v>
      </c>
      <c r="F183" s="186" t="e">
        <f>'DETAILED UNIT AREA TABULATION'!#REF!</f>
        <v>#REF!</v>
      </c>
      <c r="G183" s="186" t="e">
        <f>'DETAILED UNIT AREA TABULATION'!#REF!</f>
        <v>#REF!</v>
      </c>
      <c r="H183" s="187"/>
      <c r="I183" s="190" t="e">
        <f>'DETAILED UNIT AREA TABULATION'!#REF!</f>
        <v>#REF!</v>
      </c>
      <c r="J183" s="205" t="e">
        <f t="shared" si="5"/>
        <v>#REF!</v>
      </c>
      <c r="K183" s="188" t="e">
        <f>'DETAILED UNIT AREA TABULATION'!#REF!</f>
        <v>#REF!</v>
      </c>
      <c r="L183" s="191">
        <v>1</v>
      </c>
    </row>
    <row r="184" spans="1:12" ht="15" thickBot="1" x14ac:dyDescent="0.4">
      <c r="A184" s="184">
        <f t="shared" si="6"/>
        <v>179</v>
      </c>
      <c r="B184" s="11" t="s">
        <v>102</v>
      </c>
      <c r="C184" s="12">
        <v>73</v>
      </c>
      <c r="D184" s="155" t="s">
        <v>35</v>
      </c>
      <c r="E184" s="185">
        <v>7</v>
      </c>
      <c r="F184" s="186" t="e">
        <f>'DETAILED UNIT AREA TABULATION'!#REF!</f>
        <v>#REF!</v>
      </c>
      <c r="G184" s="186" t="e">
        <f>'DETAILED UNIT AREA TABULATION'!#REF!</f>
        <v>#REF!</v>
      </c>
      <c r="H184" s="187"/>
      <c r="I184" s="190" t="e">
        <f>'DETAILED UNIT AREA TABULATION'!#REF!</f>
        <v>#REF!</v>
      </c>
      <c r="J184" s="205" t="e">
        <f t="shared" si="5"/>
        <v>#REF!</v>
      </c>
      <c r="K184" s="188" t="e">
        <f>'DETAILED UNIT AREA TABULATION'!#REF!</f>
        <v>#REF!</v>
      </c>
      <c r="L184" s="191">
        <v>1</v>
      </c>
    </row>
    <row r="185" spans="1:12" ht="15" thickBot="1" x14ac:dyDescent="0.4">
      <c r="A185" s="184">
        <f t="shared" si="6"/>
        <v>180</v>
      </c>
      <c r="B185" s="11" t="s">
        <v>102</v>
      </c>
      <c r="C185" s="12">
        <v>74</v>
      </c>
      <c r="D185" s="155" t="s">
        <v>35</v>
      </c>
      <c r="E185" s="185">
        <v>7</v>
      </c>
      <c r="F185" s="186" t="e">
        <f>'DETAILED UNIT AREA TABULATION'!#REF!</f>
        <v>#REF!</v>
      </c>
      <c r="G185" s="186" t="e">
        <f>'DETAILED UNIT AREA TABULATION'!#REF!</f>
        <v>#REF!</v>
      </c>
      <c r="H185" s="187"/>
      <c r="I185" s="190" t="e">
        <f>'DETAILED UNIT AREA TABULATION'!#REF!</f>
        <v>#REF!</v>
      </c>
      <c r="J185" s="205" t="e">
        <f t="shared" si="5"/>
        <v>#REF!</v>
      </c>
      <c r="K185" s="188" t="e">
        <f>'DETAILED UNIT AREA TABULATION'!#REF!</f>
        <v>#REF!</v>
      </c>
      <c r="L185" s="191">
        <v>1</v>
      </c>
    </row>
    <row r="186" spans="1:12" ht="15" thickBot="1" x14ac:dyDescent="0.4">
      <c r="A186" s="184">
        <f t="shared" si="6"/>
        <v>181</v>
      </c>
      <c r="B186" s="11" t="s">
        <v>102</v>
      </c>
      <c r="C186" s="12">
        <v>75</v>
      </c>
      <c r="D186" s="155" t="s">
        <v>104</v>
      </c>
      <c r="E186" s="185">
        <v>7</v>
      </c>
      <c r="F186" s="186" t="e">
        <f>'DETAILED UNIT AREA TABULATION'!#REF!</f>
        <v>#REF!</v>
      </c>
      <c r="G186" s="186" t="e">
        <f>'DETAILED UNIT AREA TABULATION'!#REF!</f>
        <v>#REF!</v>
      </c>
      <c r="H186" s="187"/>
      <c r="I186" s="190" t="e">
        <f>'DETAILED UNIT AREA TABULATION'!#REF!</f>
        <v>#REF!</v>
      </c>
      <c r="J186" s="205" t="e">
        <f t="shared" si="5"/>
        <v>#REF!</v>
      </c>
      <c r="K186" s="188" t="e">
        <f>'DETAILED UNIT AREA TABULATION'!#REF!</f>
        <v>#REF!</v>
      </c>
      <c r="L186" s="191">
        <v>1</v>
      </c>
    </row>
    <row r="187" spans="1:12" ht="15" thickBot="1" x14ac:dyDescent="0.4">
      <c r="A187" s="184">
        <f t="shared" si="6"/>
        <v>182</v>
      </c>
      <c r="B187" s="11" t="s">
        <v>102</v>
      </c>
      <c r="C187" s="12">
        <v>76</v>
      </c>
      <c r="D187" s="155" t="s">
        <v>104</v>
      </c>
      <c r="E187" s="185">
        <v>7</v>
      </c>
      <c r="F187" s="186" t="e">
        <f>'DETAILED UNIT AREA TABULATION'!#REF!</f>
        <v>#REF!</v>
      </c>
      <c r="G187" s="186" t="e">
        <f>'DETAILED UNIT AREA TABULATION'!#REF!</f>
        <v>#REF!</v>
      </c>
      <c r="H187" s="187"/>
      <c r="I187" s="190" t="e">
        <f>'DETAILED UNIT AREA TABULATION'!#REF!</f>
        <v>#REF!</v>
      </c>
      <c r="J187" s="205" t="e">
        <f t="shared" si="5"/>
        <v>#REF!</v>
      </c>
      <c r="K187" s="188" t="e">
        <f>'DETAILED UNIT AREA TABULATION'!#REF!</f>
        <v>#REF!</v>
      </c>
      <c r="L187" s="191">
        <v>1</v>
      </c>
    </row>
    <row r="188" spans="1:12" ht="15" thickBot="1" x14ac:dyDescent="0.4">
      <c r="A188" s="184">
        <f t="shared" si="6"/>
        <v>183</v>
      </c>
      <c r="B188" s="11" t="s">
        <v>102</v>
      </c>
      <c r="C188" s="12">
        <v>77</v>
      </c>
      <c r="D188" s="172" t="s">
        <v>33</v>
      </c>
      <c r="E188" s="185">
        <v>7</v>
      </c>
      <c r="F188" s="186" t="e">
        <f>'DETAILED UNIT AREA TABULATION'!#REF!</f>
        <v>#REF!</v>
      </c>
      <c r="G188" s="186" t="e">
        <f>'DETAILED UNIT AREA TABULATION'!#REF!</f>
        <v>#REF!</v>
      </c>
      <c r="H188" s="187"/>
      <c r="I188" s="190" t="e">
        <f>'DETAILED UNIT AREA TABULATION'!#REF!</f>
        <v>#REF!</v>
      </c>
      <c r="J188" s="205" t="e">
        <f t="shared" si="5"/>
        <v>#REF!</v>
      </c>
      <c r="K188" s="188" t="e">
        <f>'DETAILED UNIT AREA TABULATION'!#REF!</f>
        <v>#REF!</v>
      </c>
      <c r="L188" s="191">
        <v>1</v>
      </c>
    </row>
    <row r="189" spans="1:12" ht="15" thickBot="1" x14ac:dyDescent="0.4">
      <c r="A189" s="184">
        <f t="shared" si="6"/>
        <v>184</v>
      </c>
      <c r="B189" s="11" t="s">
        <v>102</v>
      </c>
      <c r="C189" s="12">
        <v>78</v>
      </c>
      <c r="D189" s="156" t="s">
        <v>33</v>
      </c>
      <c r="E189" s="173">
        <v>7</v>
      </c>
      <c r="F189" s="186" t="e">
        <f>'DETAILED UNIT AREA TABULATION'!#REF!</f>
        <v>#REF!</v>
      </c>
      <c r="G189" s="186" t="e">
        <f>'DETAILED UNIT AREA TABULATION'!#REF!</f>
        <v>#REF!</v>
      </c>
      <c r="H189" s="192"/>
      <c r="I189" s="193" t="e">
        <f>'DETAILED UNIT AREA TABULATION'!#REF!</f>
        <v>#REF!</v>
      </c>
      <c r="J189" s="206" t="e">
        <f t="shared" si="5"/>
        <v>#REF!</v>
      </c>
      <c r="K189" s="188" t="e">
        <f>'DETAILED UNIT AREA TABULATION'!#REF!</f>
        <v>#REF!</v>
      </c>
      <c r="L189" s="191">
        <v>1</v>
      </c>
    </row>
    <row r="190" spans="1:12" ht="15" thickBot="1" x14ac:dyDescent="0.4">
      <c r="A190" s="184">
        <f t="shared" si="6"/>
        <v>185</v>
      </c>
      <c r="B190" s="11" t="s">
        <v>102</v>
      </c>
      <c r="C190" s="12">
        <v>81</v>
      </c>
      <c r="D190" s="154" t="s">
        <v>35</v>
      </c>
      <c r="E190" s="185">
        <v>8</v>
      </c>
      <c r="F190" s="186" t="e">
        <f>'DETAILED UNIT AREA TABULATION'!#REF!</f>
        <v>#REF!</v>
      </c>
      <c r="G190" s="186" t="e">
        <f>'DETAILED UNIT AREA TABULATION'!#REF!</f>
        <v>#REF!</v>
      </c>
      <c r="H190" s="187"/>
      <c r="I190" s="190" t="e">
        <f>'DETAILED UNIT AREA TABULATION'!#REF!</f>
        <v>#REF!</v>
      </c>
      <c r="J190" s="205" t="e">
        <f t="shared" si="5"/>
        <v>#REF!</v>
      </c>
      <c r="K190" s="188" t="e">
        <f>'DETAILED UNIT AREA TABULATION'!#REF!</f>
        <v>#REF!</v>
      </c>
      <c r="L190" s="191">
        <v>1</v>
      </c>
    </row>
    <row r="191" spans="1:12" ht="15" thickBot="1" x14ac:dyDescent="0.4">
      <c r="A191" s="184">
        <f t="shared" si="6"/>
        <v>186</v>
      </c>
      <c r="B191" s="11" t="s">
        <v>102</v>
      </c>
      <c r="C191" s="12">
        <v>82</v>
      </c>
      <c r="D191" s="155" t="s">
        <v>35</v>
      </c>
      <c r="E191" s="185">
        <v>8</v>
      </c>
      <c r="F191" s="186" t="e">
        <f>'DETAILED UNIT AREA TABULATION'!#REF!</f>
        <v>#REF!</v>
      </c>
      <c r="G191" s="186" t="e">
        <f>'DETAILED UNIT AREA TABULATION'!#REF!</f>
        <v>#REF!</v>
      </c>
      <c r="H191" s="187"/>
      <c r="I191" s="190" t="e">
        <f>'DETAILED UNIT AREA TABULATION'!#REF!</f>
        <v>#REF!</v>
      </c>
      <c r="J191" s="205" t="e">
        <f t="shared" si="5"/>
        <v>#REF!</v>
      </c>
      <c r="K191" s="188" t="e">
        <f>'DETAILED UNIT AREA TABULATION'!#REF!</f>
        <v>#REF!</v>
      </c>
      <c r="L191" s="191">
        <v>1</v>
      </c>
    </row>
    <row r="192" spans="1:12" ht="15" thickBot="1" x14ac:dyDescent="0.4">
      <c r="A192" s="184">
        <f t="shared" si="6"/>
        <v>187</v>
      </c>
      <c r="B192" s="11" t="s">
        <v>102</v>
      </c>
      <c r="C192" s="12">
        <v>83</v>
      </c>
      <c r="D192" s="155" t="s">
        <v>35</v>
      </c>
      <c r="E192" s="185">
        <v>8</v>
      </c>
      <c r="F192" s="186" t="e">
        <f>'DETAILED UNIT AREA TABULATION'!#REF!</f>
        <v>#REF!</v>
      </c>
      <c r="G192" s="186" t="e">
        <f>'DETAILED UNIT AREA TABULATION'!#REF!</f>
        <v>#REF!</v>
      </c>
      <c r="H192" s="187"/>
      <c r="I192" s="190" t="e">
        <f>'DETAILED UNIT AREA TABULATION'!#REF!</f>
        <v>#REF!</v>
      </c>
      <c r="J192" s="205" t="e">
        <f t="shared" si="5"/>
        <v>#REF!</v>
      </c>
      <c r="K192" s="188" t="e">
        <f>'DETAILED UNIT AREA TABULATION'!#REF!</f>
        <v>#REF!</v>
      </c>
      <c r="L192" s="191">
        <v>1</v>
      </c>
    </row>
    <row r="193" spans="1:12" ht="15" thickBot="1" x14ac:dyDescent="0.4">
      <c r="A193" s="184">
        <f t="shared" si="6"/>
        <v>188</v>
      </c>
      <c r="B193" s="11" t="s">
        <v>102</v>
      </c>
      <c r="C193" s="12">
        <v>84</v>
      </c>
      <c r="D193" s="155" t="s">
        <v>35</v>
      </c>
      <c r="E193" s="185">
        <v>8</v>
      </c>
      <c r="F193" s="186" t="e">
        <f>'DETAILED UNIT AREA TABULATION'!#REF!</f>
        <v>#REF!</v>
      </c>
      <c r="G193" s="186" t="e">
        <f>'DETAILED UNIT AREA TABULATION'!#REF!</f>
        <v>#REF!</v>
      </c>
      <c r="H193" s="187"/>
      <c r="I193" s="190" t="e">
        <f>'DETAILED UNIT AREA TABULATION'!#REF!</f>
        <v>#REF!</v>
      </c>
      <c r="J193" s="205" t="e">
        <f t="shared" si="5"/>
        <v>#REF!</v>
      </c>
      <c r="K193" s="188" t="e">
        <f>'DETAILED UNIT AREA TABULATION'!#REF!</f>
        <v>#REF!</v>
      </c>
      <c r="L193" s="191">
        <v>1</v>
      </c>
    </row>
    <row r="194" spans="1:12" ht="15" thickBot="1" x14ac:dyDescent="0.4">
      <c r="A194" s="184">
        <f t="shared" si="6"/>
        <v>189</v>
      </c>
      <c r="B194" s="11" t="s">
        <v>102</v>
      </c>
      <c r="C194" s="12">
        <v>85</v>
      </c>
      <c r="D194" s="155" t="s">
        <v>104</v>
      </c>
      <c r="E194" s="185">
        <v>8</v>
      </c>
      <c r="F194" s="186" t="e">
        <f>'DETAILED UNIT AREA TABULATION'!#REF!</f>
        <v>#REF!</v>
      </c>
      <c r="G194" s="186" t="e">
        <f>'DETAILED UNIT AREA TABULATION'!#REF!</f>
        <v>#REF!</v>
      </c>
      <c r="H194" s="187"/>
      <c r="I194" s="190" t="e">
        <f>'DETAILED UNIT AREA TABULATION'!#REF!</f>
        <v>#REF!</v>
      </c>
      <c r="J194" s="205" t="e">
        <f t="shared" si="5"/>
        <v>#REF!</v>
      </c>
      <c r="K194" s="188" t="e">
        <f>'DETAILED UNIT AREA TABULATION'!#REF!</f>
        <v>#REF!</v>
      </c>
      <c r="L194" s="191">
        <v>1</v>
      </c>
    </row>
    <row r="195" spans="1:12" ht="15" thickBot="1" x14ac:dyDescent="0.4">
      <c r="A195" s="184">
        <f t="shared" si="6"/>
        <v>190</v>
      </c>
      <c r="B195" s="11" t="s">
        <v>102</v>
      </c>
      <c r="C195" s="12">
        <v>86</v>
      </c>
      <c r="D195" s="155" t="s">
        <v>104</v>
      </c>
      <c r="E195" s="185">
        <v>8</v>
      </c>
      <c r="F195" s="186" t="e">
        <f>'DETAILED UNIT AREA TABULATION'!#REF!</f>
        <v>#REF!</v>
      </c>
      <c r="G195" s="186" t="e">
        <f>'DETAILED UNIT AREA TABULATION'!#REF!</f>
        <v>#REF!</v>
      </c>
      <c r="H195" s="187"/>
      <c r="I195" s="190" t="e">
        <f>'DETAILED UNIT AREA TABULATION'!#REF!</f>
        <v>#REF!</v>
      </c>
      <c r="J195" s="205" t="e">
        <f t="shared" si="5"/>
        <v>#REF!</v>
      </c>
      <c r="K195" s="188" t="e">
        <f>'DETAILED UNIT AREA TABULATION'!#REF!</f>
        <v>#REF!</v>
      </c>
      <c r="L195" s="191">
        <v>1</v>
      </c>
    </row>
    <row r="196" spans="1:12" ht="15" thickBot="1" x14ac:dyDescent="0.4">
      <c r="A196" s="184">
        <f t="shared" si="6"/>
        <v>191</v>
      </c>
      <c r="B196" s="11" t="s">
        <v>102</v>
      </c>
      <c r="C196" s="12">
        <v>87</v>
      </c>
      <c r="D196" s="172" t="s">
        <v>33</v>
      </c>
      <c r="E196" s="185">
        <v>8</v>
      </c>
      <c r="F196" s="186" t="e">
        <f>'DETAILED UNIT AREA TABULATION'!#REF!</f>
        <v>#REF!</v>
      </c>
      <c r="G196" s="186" t="e">
        <f>'DETAILED UNIT AREA TABULATION'!#REF!</f>
        <v>#REF!</v>
      </c>
      <c r="H196" s="187"/>
      <c r="I196" s="190" t="e">
        <f>'DETAILED UNIT AREA TABULATION'!#REF!</f>
        <v>#REF!</v>
      </c>
      <c r="J196" s="205" t="e">
        <f t="shared" si="5"/>
        <v>#REF!</v>
      </c>
      <c r="K196" s="188" t="e">
        <f>'DETAILED UNIT AREA TABULATION'!#REF!</f>
        <v>#REF!</v>
      </c>
      <c r="L196" s="191">
        <v>1</v>
      </c>
    </row>
    <row r="197" spans="1:12" ht="15" thickBot="1" x14ac:dyDescent="0.4">
      <c r="A197" s="194">
        <f t="shared" si="6"/>
        <v>192</v>
      </c>
      <c r="B197" s="124" t="s">
        <v>102</v>
      </c>
      <c r="C197" s="125">
        <v>88</v>
      </c>
      <c r="D197" s="156" t="s">
        <v>33</v>
      </c>
      <c r="E197" s="173">
        <v>8</v>
      </c>
      <c r="F197" s="186" t="e">
        <f>'DETAILED UNIT AREA TABULATION'!#REF!</f>
        <v>#REF!</v>
      </c>
      <c r="G197" s="186" t="e">
        <f>'DETAILED UNIT AREA TABULATION'!#REF!</f>
        <v>#REF!</v>
      </c>
      <c r="H197" s="192"/>
      <c r="I197" s="193" t="e">
        <f>'DETAILED UNIT AREA TABULATION'!#REF!</f>
        <v>#REF!</v>
      </c>
      <c r="J197" s="206" t="e">
        <f t="shared" si="5"/>
        <v>#REF!</v>
      </c>
      <c r="K197" s="188" t="e">
        <f>'DETAILED UNIT AREA TABULATION'!#REF!</f>
        <v>#REF!</v>
      </c>
      <c r="L197" s="191">
        <v>1</v>
      </c>
    </row>
    <row r="198" spans="1:12" ht="15" thickBot="1" x14ac:dyDescent="0.4">
      <c r="A198" s="184">
        <f t="shared" si="6"/>
        <v>193</v>
      </c>
      <c r="B198" s="11" t="s">
        <v>103</v>
      </c>
      <c r="C198" s="12">
        <v>11</v>
      </c>
      <c r="D198" s="154" t="s">
        <v>35</v>
      </c>
      <c r="E198" s="185">
        <v>1</v>
      </c>
      <c r="F198" s="186" t="e">
        <f>'DETAILED UNIT AREA TABULATION'!#REF!</f>
        <v>#REF!</v>
      </c>
      <c r="G198" s="186" t="e">
        <f>'DETAILED UNIT AREA TABULATION'!#REF!</f>
        <v>#REF!</v>
      </c>
      <c r="H198" s="187"/>
      <c r="I198" s="190" t="e">
        <f>'DETAILED UNIT AREA TABULATION'!#REF!</f>
        <v>#REF!</v>
      </c>
      <c r="J198" s="205" t="e">
        <f t="shared" si="5"/>
        <v>#REF!</v>
      </c>
      <c r="K198" s="188" t="e">
        <f>'DETAILED UNIT AREA TABULATION'!#REF!</f>
        <v>#REF!</v>
      </c>
      <c r="L198" s="191">
        <v>1</v>
      </c>
    </row>
    <row r="199" spans="1:12" ht="15" thickBot="1" x14ac:dyDescent="0.4">
      <c r="A199" s="184">
        <f t="shared" si="6"/>
        <v>194</v>
      </c>
      <c r="B199" s="11" t="s">
        <v>103</v>
      </c>
      <c r="C199" s="12">
        <v>12</v>
      </c>
      <c r="D199" s="155" t="s">
        <v>35</v>
      </c>
      <c r="E199" s="185">
        <v>1</v>
      </c>
      <c r="F199" s="186" t="e">
        <f>'DETAILED UNIT AREA TABULATION'!#REF!</f>
        <v>#REF!</v>
      </c>
      <c r="G199" s="186" t="e">
        <f>'DETAILED UNIT AREA TABULATION'!#REF!</f>
        <v>#REF!</v>
      </c>
      <c r="H199" s="187"/>
      <c r="I199" s="190" t="e">
        <f>'DETAILED UNIT AREA TABULATION'!#REF!</f>
        <v>#REF!</v>
      </c>
      <c r="J199" s="205" t="e">
        <f t="shared" ref="J199:J261" si="7">I199+G199+F199</f>
        <v>#REF!</v>
      </c>
      <c r="K199" s="188" t="e">
        <f>'DETAILED UNIT AREA TABULATION'!#REF!</f>
        <v>#REF!</v>
      </c>
      <c r="L199" s="191">
        <v>1</v>
      </c>
    </row>
    <row r="200" spans="1:12" ht="15" thickBot="1" x14ac:dyDescent="0.4">
      <c r="A200" s="184">
        <f t="shared" si="6"/>
        <v>195</v>
      </c>
      <c r="B200" s="11" t="s">
        <v>103</v>
      </c>
      <c r="C200" s="12">
        <v>13</v>
      </c>
      <c r="D200" s="155" t="s">
        <v>35</v>
      </c>
      <c r="E200" s="185">
        <v>1</v>
      </c>
      <c r="F200" s="186" t="e">
        <f>'DETAILED UNIT AREA TABULATION'!#REF!</f>
        <v>#REF!</v>
      </c>
      <c r="G200" s="186" t="e">
        <f>'DETAILED UNIT AREA TABULATION'!#REF!</f>
        <v>#REF!</v>
      </c>
      <c r="H200" s="187"/>
      <c r="I200" s="190" t="e">
        <f>'DETAILED UNIT AREA TABULATION'!#REF!</f>
        <v>#REF!</v>
      </c>
      <c r="J200" s="205" t="e">
        <f t="shared" si="7"/>
        <v>#REF!</v>
      </c>
      <c r="K200" s="188" t="e">
        <f>'DETAILED UNIT AREA TABULATION'!#REF!</f>
        <v>#REF!</v>
      </c>
      <c r="L200" s="191">
        <v>1</v>
      </c>
    </row>
    <row r="201" spans="1:12" ht="15" thickBot="1" x14ac:dyDescent="0.4">
      <c r="A201" s="184">
        <f t="shared" si="6"/>
        <v>196</v>
      </c>
      <c r="B201" s="11" t="s">
        <v>103</v>
      </c>
      <c r="C201" s="12">
        <v>14</v>
      </c>
      <c r="D201" s="155" t="s">
        <v>35</v>
      </c>
      <c r="E201" s="185">
        <v>1</v>
      </c>
      <c r="F201" s="186" t="e">
        <f>'DETAILED UNIT AREA TABULATION'!#REF!</f>
        <v>#REF!</v>
      </c>
      <c r="G201" s="186" t="e">
        <f>'DETAILED UNIT AREA TABULATION'!#REF!</f>
        <v>#REF!</v>
      </c>
      <c r="H201" s="187"/>
      <c r="I201" s="190" t="e">
        <f>'DETAILED UNIT AREA TABULATION'!#REF!</f>
        <v>#REF!</v>
      </c>
      <c r="J201" s="205" t="e">
        <f t="shared" si="7"/>
        <v>#REF!</v>
      </c>
      <c r="K201" s="188" t="e">
        <f>'DETAILED UNIT AREA TABULATION'!#REF!</f>
        <v>#REF!</v>
      </c>
      <c r="L201" s="191">
        <v>1</v>
      </c>
    </row>
    <row r="202" spans="1:12" ht="15" thickBot="1" x14ac:dyDescent="0.4">
      <c r="A202" s="184">
        <f t="shared" si="6"/>
        <v>197</v>
      </c>
      <c r="B202" s="11" t="s">
        <v>103</v>
      </c>
      <c r="C202" s="12">
        <v>15</v>
      </c>
      <c r="D202" s="155" t="s">
        <v>104</v>
      </c>
      <c r="E202" s="185">
        <v>1</v>
      </c>
      <c r="F202" s="186" t="e">
        <f>'DETAILED UNIT AREA TABULATION'!#REF!</f>
        <v>#REF!</v>
      </c>
      <c r="G202" s="186" t="e">
        <f>'DETAILED UNIT AREA TABULATION'!#REF!</f>
        <v>#REF!</v>
      </c>
      <c r="H202" s="187"/>
      <c r="I202" s="190" t="e">
        <f>'DETAILED UNIT AREA TABULATION'!#REF!</f>
        <v>#REF!</v>
      </c>
      <c r="J202" s="205" t="e">
        <f t="shared" si="7"/>
        <v>#REF!</v>
      </c>
      <c r="K202" s="188" t="e">
        <f>'DETAILED UNIT AREA TABULATION'!#REF!</f>
        <v>#REF!</v>
      </c>
      <c r="L202" s="191">
        <v>1</v>
      </c>
    </row>
    <row r="203" spans="1:12" ht="15" thickBot="1" x14ac:dyDescent="0.4">
      <c r="A203" s="184">
        <f t="shared" si="6"/>
        <v>198</v>
      </c>
      <c r="B203" s="11" t="s">
        <v>103</v>
      </c>
      <c r="C203" s="12">
        <v>16</v>
      </c>
      <c r="D203" s="155" t="s">
        <v>104</v>
      </c>
      <c r="E203" s="185">
        <v>1</v>
      </c>
      <c r="F203" s="186" t="e">
        <f>'DETAILED UNIT AREA TABULATION'!#REF!</f>
        <v>#REF!</v>
      </c>
      <c r="G203" s="186" t="e">
        <f>'DETAILED UNIT AREA TABULATION'!#REF!</f>
        <v>#REF!</v>
      </c>
      <c r="H203" s="187"/>
      <c r="I203" s="190" t="e">
        <f>'DETAILED UNIT AREA TABULATION'!#REF!</f>
        <v>#REF!</v>
      </c>
      <c r="J203" s="205" t="e">
        <f t="shared" si="7"/>
        <v>#REF!</v>
      </c>
      <c r="K203" s="188" t="e">
        <f>'DETAILED UNIT AREA TABULATION'!#REF!</f>
        <v>#REF!</v>
      </c>
      <c r="L203" s="191">
        <v>1</v>
      </c>
    </row>
    <row r="204" spans="1:12" ht="15" thickBot="1" x14ac:dyDescent="0.4">
      <c r="A204" s="184">
        <f t="shared" si="6"/>
        <v>199</v>
      </c>
      <c r="B204" s="11" t="s">
        <v>103</v>
      </c>
      <c r="C204" s="12">
        <v>17</v>
      </c>
      <c r="D204" s="172" t="s">
        <v>33</v>
      </c>
      <c r="E204" s="185">
        <v>1</v>
      </c>
      <c r="F204" s="186" t="e">
        <f>'DETAILED UNIT AREA TABULATION'!#REF!</f>
        <v>#REF!</v>
      </c>
      <c r="G204" s="186" t="e">
        <f>'DETAILED UNIT AREA TABULATION'!#REF!</f>
        <v>#REF!</v>
      </c>
      <c r="H204" s="187"/>
      <c r="I204" s="190" t="e">
        <f>'DETAILED UNIT AREA TABULATION'!#REF!</f>
        <v>#REF!</v>
      </c>
      <c r="J204" s="205" t="e">
        <f t="shared" si="7"/>
        <v>#REF!</v>
      </c>
      <c r="K204" s="188" t="e">
        <f>'DETAILED UNIT AREA TABULATION'!#REF!</f>
        <v>#REF!</v>
      </c>
      <c r="L204" s="191">
        <v>1</v>
      </c>
    </row>
    <row r="205" spans="1:12" ht="15" thickBot="1" x14ac:dyDescent="0.4">
      <c r="A205" s="184">
        <f t="shared" si="6"/>
        <v>200</v>
      </c>
      <c r="B205" s="11" t="s">
        <v>103</v>
      </c>
      <c r="C205" s="12">
        <v>18</v>
      </c>
      <c r="D205" s="156" t="s">
        <v>33</v>
      </c>
      <c r="E205" s="173">
        <v>1</v>
      </c>
      <c r="F205" s="186" t="e">
        <f>'DETAILED UNIT AREA TABULATION'!#REF!</f>
        <v>#REF!</v>
      </c>
      <c r="G205" s="186" t="e">
        <f>'DETAILED UNIT AREA TABULATION'!#REF!</f>
        <v>#REF!</v>
      </c>
      <c r="H205" s="192"/>
      <c r="I205" s="193" t="e">
        <f>'DETAILED UNIT AREA TABULATION'!#REF!</f>
        <v>#REF!</v>
      </c>
      <c r="J205" s="206" t="e">
        <f t="shared" si="7"/>
        <v>#REF!</v>
      </c>
      <c r="K205" s="188" t="e">
        <f>'DETAILED UNIT AREA TABULATION'!#REF!</f>
        <v>#REF!</v>
      </c>
      <c r="L205" s="191">
        <v>1</v>
      </c>
    </row>
    <row r="206" spans="1:12" ht="15" thickBot="1" x14ac:dyDescent="0.4">
      <c r="A206" s="184">
        <f t="shared" ref="A206:A261" si="8">A205+1</f>
        <v>201</v>
      </c>
      <c r="B206" s="11" t="s">
        <v>103</v>
      </c>
      <c r="C206" s="12">
        <v>21</v>
      </c>
      <c r="D206" s="154" t="s">
        <v>35</v>
      </c>
      <c r="E206" s="185">
        <v>2</v>
      </c>
      <c r="F206" s="186" t="e">
        <f>'DETAILED UNIT AREA TABULATION'!#REF!</f>
        <v>#REF!</v>
      </c>
      <c r="G206" s="186" t="e">
        <f>'DETAILED UNIT AREA TABULATION'!#REF!</f>
        <v>#REF!</v>
      </c>
      <c r="H206" s="187"/>
      <c r="I206" s="190" t="e">
        <f>'DETAILED UNIT AREA TABULATION'!#REF!</f>
        <v>#REF!</v>
      </c>
      <c r="J206" s="205" t="e">
        <f t="shared" si="7"/>
        <v>#REF!</v>
      </c>
      <c r="K206" s="188" t="e">
        <f>'DETAILED UNIT AREA TABULATION'!#REF!</f>
        <v>#REF!</v>
      </c>
      <c r="L206" s="191">
        <v>1</v>
      </c>
    </row>
    <row r="207" spans="1:12" ht="15" thickBot="1" x14ac:dyDescent="0.4">
      <c r="A207" s="184">
        <f t="shared" si="8"/>
        <v>202</v>
      </c>
      <c r="B207" s="11" t="s">
        <v>103</v>
      </c>
      <c r="C207" s="12">
        <v>22</v>
      </c>
      <c r="D207" s="155" t="s">
        <v>35</v>
      </c>
      <c r="E207" s="185">
        <v>2</v>
      </c>
      <c r="F207" s="186" t="e">
        <f>'DETAILED UNIT AREA TABULATION'!#REF!</f>
        <v>#REF!</v>
      </c>
      <c r="G207" s="186" t="e">
        <f>'DETAILED UNIT AREA TABULATION'!#REF!</f>
        <v>#REF!</v>
      </c>
      <c r="H207" s="187"/>
      <c r="I207" s="190" t="e">
        <f>'DETAILED UNIT AREA TABULATION'!#REF!</f>
        <v>#REF!</v>
      </c>
      <c r="J207" s="205" t="e">
        <f t="shared" si="7"/>
        <v>#REF!</v>
      </c>
      <c r="K207" s="188" t="e">
        <f>'DETAILED UNIT AREA TABULATION'!#REF!</f>
        <v>#REF!</v>
      </c>
      <c r="L207" s="191">
        <v>1</v>
      </c>
    </row>
    <row r="208" spans="1:12" ht="15" thickBot="1" x14ac:dyDescent="0.4">
      <c r="A208" s="184">
        <f t="shared" si="8"/>
        <v>203</v>
      </c>
      <c r="B208" s="11" t="s">
        <v>103</v>
      </c>
      <c r="C208" s="12">
        <v>23</v>
      </c>
      <c r="D208" s="155" t="s">
        <v>35</v>
      </c>
      <c r="E208" s="185">
        <v>2</v>
      </c>
      <c r="F208" s="186" t="e">
        <f>'DETAILED UNIT AREA TABULATION'!#REF!</f>
        <v>#REF!</v>
      </c>
      <c r="G208" s="186" t="e">
        <f>'DETAILED UNIT AREA TABULATION'!#REF!</f>
        <v>#REF!</v>
      </c>
      <c r="H208" s="187"/>
      <c r="I208" s="190" t="e">
        <f>'DETAILED UNIT AREA TABULATION'!#REF!</f>
        <v>#REF!</v>
      </c>
      <c r="J208" s="205" t="e">
        <f t="shared" si="7"/>
        <v>#REF!</v>
      </c>
      <c r="K208" s="188" t="e">
        <f>'DETAILED UNIT AREA TABULATION'!#REF!</f>
        <v>#REF!</v>
      </c>
      <c r="L208" s="191">
        <v>1</v>
      </c>
    </row>
    <row r="209" spans="1:12" ht="15" thickBot="1" x14ac:dyDescent="0.4">
      <c r="A209" s="184">
        <f t="shared" si="8"/>
        <v>204</v>
      </c>
      <c r="B209" s="11" t="s">
        <v>103</v>
      </c>
      <c r="C209" s="12">
        <v>24</v>
      </c>
      <c r="D209" s="155" t="s">
        <v>35</v>
      </c>
      <c r="E209" s="185">
        <v>2</v>
      </c>
      <c r="F209" s="186" t="e">
        <f>'DETAILED UNIT AREA TABULATION'!#REF!</f>
        <v>#REF!</v>
      </c>
      <c r="G209" s="186" t="e">
        <f>'DETAILED UNIT AREA TABULATION'!#REF!</f>
        <v>#REF!</v>
      </c>
      <c r="H209" s="187"/>
      <c r="I209" s="190" t="e">
        <f>'DETAILED UNIT AREA TABULATION'!#REF!</f>
        <v>#REF!</v>
      </c>
      <c r="J209" s="205" t="e">
        <f t="shared" si="7"/>
        <v>#REF!</v>
      </c>
      <c r="K209" s="188" t="e">
        <f>'DETAILED UNIT AREA TABULATION'!#REF!</f>
        <v>#REF!</v>
      </c>
      <c r="L209" s="191">
        <v>1</v>
      </c>
    </row>
    <row r="210" spans="1:12" ht="15" thickBot="1" x14ac:dyDescent="0.4">
      <c r="A210" s="184">
        <f t="shared" si="8"/>
        <v>205</v>
      </c>
      <c r="B210" s="11" t="s">
        <v>103</v>
      </c>
      <c r="C210" s="12">
        <v>25</v>
      </c>
      <c r="D210" s="155" t="s">
        <v>104</v>
      </c>
      <c r="E210" s="185">
        <v>2</v>
      </c>
      <c r="F210" s="186" t="e">
        <f>'DETAILED UNIT AREA TABULATION'!#REF!</f>
        <v>#REF!</v>
      </c>
      <c r="G210" s="186" t="e">
        <f>'DETAILED UNIT AREA TABULATION'!#REF!</f>
        <v>#REF!</v>
      </c>
      <c r="H210" s="187"/>
      <c r="I210" s="190" t="e">
        <f>'DETAILED UNIT AREA TABULATION'!#REF!</f>
        <v>#REF!</v>
      </c>
      <c r="J210" s="205" t="e">
        <f t="shared" si="7"/>
        <v>#REF!</v>
      </c>
      <c r="K210" s="188" t="e">
        <f>'DETAILED UNIT AREA TABULATION'!#REF!</f>
        <v>#REF!</v>
      </c>
      <c r="L210" s="191">
        <v>1</v>
      </c>
    </row>
    <row r="211" spans="1:12" ht="15" thickBot="1" x14ac:dyDescent="0.4">
      <c r="A211" s="184">
        <f t="shared" si="8"/>
        <v>206</v>
      </c>
      <c r="B211" s="11" t="s">
        <v>103</v>
      </c>
      <c r="C211" s="12">
        <v>26</v>
      </c>
      <c r="D211" s="155" t="s">
        <v>104</v>
      </c>
      <c r="E211" s="185">
        <v>2</v>
      </c>
      <c r="F211" s="186" t="e">
        <f>'DETAILED UNIT AREA TABULATION'!#REF!</f>
        <v>#REF!</v>
      </c>
      <c r="G211" s="186" t="e">
        <f>'DETAILED UNIT AREA TABULATION'!#REF!</f>
        <v>#REF!</v>
      </c>
      <c r="H211" s="187"/>
      <c r="I211" s="190" t="e">
        <f>'DETAILED UNIT AREA TABULATION'!#REF!</f>
        <v>#REF!</v>
      </c>
      <c r="J211" s="205" t="e">
        <f t="shared" si="7"/>
        <v>#REF!</v>
      </c>
      <c r="K211" s="188" t="e">
        <f>'DETAILED UNIT AREA TABULATION'!#REF!</f>
        <v>#REF!</v>
      </c>
      <c r="L211" s="191">
        <v>1</v>
      </c>
    </row>
    <row r="212" spans="1:12" ht="15" thickBot="1" x14ac:dyDescent="0.4">
      <c r="A212" s="184">
        <f t="shared" si="8"/>
        <v>207</v>
      </c>
      <c r="B212" s="11" t="s">
        <v>103</v>
      </c>
      <c r="C212" s="12">
        <v>27</v>
      </c>
      <c r="D212" s="172" t="s">
        <v>33</v>
      </c>
      <c r="E212" s="185">
        <v>2</v>
      </c>
      <c r="F212" s="186" t="e">
        <f>'DETAILED UNIT AREA TABULATION'!#REF!</f>
        <v>#REF!</v>
      </c>
      <c r="G212" s="186" t="e">
        <f>'DETAILED UNIT AREA TABULATION'!#REF!</f>
        <v>#REF!</v>
      </c>
      <c r="H212" s="187"/>
      <c r="I212" s="190" t="e">
        <f>'DETAILED UNIT AREA TABULATION'!#REF!</f>
        <v>#REF!</v>
      </c>
      <c r="J212" s="205" t="e">
        <f t="shared" si="7"/>
        <v>#REF!</v>
      </c>
      <c r="K212" s="188" t="e">
        <f>'DETAILED UNIT AREA TABULATION'!#REF!</f>
        <v>#REF!</v>
      </c>
      <c r="L212" s="191">
        <v>1</v>
      </c>
    </row>
    <row r="213" spans="1:12" ht="15" thickBot="1" x14ac:dyDescent="0.4">
      <c r="A213" s="184">
        <f t="shared" si="8"/>
        <v>208</v>
      </c>
      <c r="B213" s="11" t="s">
        <v>103</v>
      </c>
      <c r="C213" s="12">
        <v>28</v>
      </c>
      <c r="D213" s="156" t="s">
        <v>33</v>
      </c>
      <c r="E213" s="173">
        <v>2</v>
      </c>
      <c r="F213" s="186" t="e">
        <f>'DETAILED UNIT AREA TABULATION'!#REF!</f>
        <v>#REF!</v>
      </c>
      <c r="G213" s="186" t="e">
        <f>'DETAILED UNIT AREA TABULATION'!#REF!</f>
        <v>#REF!</v>
      </c>
      <c r="H213" s="192"/>
      <c r="I213" s="193" t="e">
        <f>'DETAILED UNIT AREA TABULATION'!#REF!</f>
        <v>#REF!</v>
      </c>
      <c r="J213" s="206" t="e">
        <f t="shared" si="7"/>
        <v>#REF!</v>
      </c>
      <c r="K213" s="188" t="e">
        <f>'DETAILED UNIT AREA TABULATION'!#REF!</f>
        <v>#REF!</v>
      </c>
      <c r="L213" s="191">
        <v>1</v>
      </c>
    </row>
    <row r="214" spans="1:12" ht="15" thickBot="1" x14ac:dyDescent="0.4">
      <c r="A214" s="184">
        <f t="shared" si="8"/>
        <v>209</v>
      </c>
      <c r="B214" s="11" t="s">
        <v>103</v>
      </c>
      <c r="C214" s="12">
        <v>31</v>
      </c>
      <c r="D214" s="154" t="s">
        <v>35</v>
      </c>
      <c r="E214" s="185">
        <v>3</v>
      </c>
      <c r="F214" s="186" t="e">
        <f>'DETAILED UNIT AREA TABULATION'!#REF!</f>
        <v>#REF!</v>
      </c>
      <c r="G214" s="186" t="e">
        <f>'DETAILED UNIT AREA TABULATION'!#REF!</f>
        <v>#REF!</v>
      </c>
      <c r="H214" s="187"/>
      <c r="I214" s="190" t="e">
        <f>'DETAILED UNIT AREA TABULATION'!#REF!</f>
        <v>#REF!</v>
      </c>
      <c r="J214" s="205" t="e">
        <f t="shared" si="7"/>
        <v>#REF!</v>
      </c>
      <c r="K214" s="188" t="e">
        <f>'DETAILED UNIT AREA TABULATION'!#REF!</f>
        <v>#REF!</v>
      </c>
      <c r="L214" s="191">
        <v>1</v>
      </c>
    </row>
    <row r="215" spans="1:12" ht="15" thickBot="1" x14ac:dyDescent="0.4">
      <c r="A215" s="184">
        <f t="shared" si="8"/>
        <v>210</v>
      </c>
      <c r="B215" s="11" t="s">
        <v>103</v>
      </c>
      <c r="C215" s="12">
        <v>32</v>
      </c>
      <c r="D215" s="155" t="s">
        <v>35</v>
      </c>
      <c r="E215" s="185">
        <v>3</v>
      </c>
      <c r="F215" s="186" t="e">
        <f>'DETAILED UNIT AREA TABULATION'!#REF!</f>
        <v>#REF!</v>
      </c>
      <c r="G215" s="186" t="e">
        <f>'DETAILED UNIT AREA TABULATION'!#REF!</f>
        <v>#REF!</v>
      </c>
      <c r="H215" s="187"/>
      <c r="I215" s="190" t="e">
        <f>'DETAILED UNIT AREA TABULATION'!#REF!</f>
        <v>#REF!</v>
      </c>
      <c r="J215" s="205" t="e">
        <f t="shared" si="7"/>
        <v>#REF!</v>
      </c>
      <c r="K215" s="188" t="e">
        <f>'DETAILED UNIT AREA TABULATION'!#REF!</f>
        <v>#REF!</v>
      </c>
      <c r="L215" s="191">
        <v>1</v>
      </c>
    </row>
    <row r="216" spans="1:12" ht="15" thickBot="1" x14ac:dyDescent="0.4">
      <c r="A216" s="184">
        <f t="shared" si="8"/>
        <v>211</v>
      </c>
      <c r="B216" s="11" t="s">
        <v>103</v>
      </c>
      <c r="C216" s="12">
        <v>33</v>
      </c>
      <c r="D216" s="155" t="s">
        <v>35</v>
      </c>
      <c r="E216" s="185">
        <v>3</v>
      </c>
      <c r="F216" s="186" t="e">
        <f>'DETAILED UNIT AREA TABULATION'!#REF!</f>
        <v>#REF!</v>
      </c>
      <c r="G216" s="186" t="e">
        <f>'DETAILED UNIT AREA TABULATION'!#REF!</f>
        <v>#REF!</v>
      </c>
      <c r="H216" s="187"/>
      <c r="I216" s="190" t="e">
        <f>'DETAILED UNIT AREA TABULATION'!#REF!</f>
        <v>#REF!</v>
      </c>
      <c r="J216" s="205" t="e">
        <f t="shared" si="7"/>
        <v>#REF!</v>
      </c>
      <c r="K216" s="188" t="e">
        <f>'DETAILED UNIT AREA TABULATION'!#REF!</f>
        <v>#REF!</v>
      </c>
      <c r="L216" s="191">
        <v>1</v>
      </c>
    </row>
    <row r="217" spans="1:12" ht="15" thickBot="1" x14ac:dyDescent="0.4">
      <c r="A217" s="184">
        <f t="shared" si="8"/>
        <v>212</v>
      </c>
      <c r="B217" s="11" t="s">
        <v>103</v>
      </c>
      <c r="C217" s="12">
        <v>34</v>
      </c>
      <c r="D217" s="155" t="s">
        <v>35</v>
      </c>
      <c r="E217" s="185">
        <v>3</v>
      </c>
      <c r="F217" s="186" t="e">
        <f>'DETAILED UNIT AREA TABULATION'!#REF!</f>
        <v>#REF!</v>
      </c>
      <c r="G217" s="186" t="e">
        <f>'DETAILED UNIT AREA TABULATION'!#REF!</f>
        <v>#REF!</v>
      </c>
      <c r="H217" s="187"/>
      <c r="I217" s="190" t="e">
        <f>'DETAILED UNIT AREA TABULATION'!#REF!</f>
        <v>#REF!</v>
      </c>
      <c r="J217" s="205" t="e">
        <f t="shared" si="7"/>
        <v>#REF!</v>
      </c>
      <c r="K217" s="188" t="e">
        <f>'DETAILED UNIT AREA TABULATION'!#REF!</f>
        <v>#REF!</v>
      </c>
      <c r="L217" s="191">
        <v>1</v>
      </c>
    </row>
    <row r="218" spans="1:12" ht="15" thickBot="1" x14ac:dyDescent="0.4">
      <c r="A218" s="184">
        <f t="shared" si="8"/>
        <v>213</v>
      </c>
      <c r="B218" s="11" t="s">
        <v>103</v>
      </c>
      <c r="C218" s="12">
        <v>35</v>
      </c>
      <c r="D218" s="155" t="s">
        <v>104</v>
      </c>
      <c r="E218" s="185">
        <v>3</v>
      </c>
      <c r="F218" s="186" t="e">
        <f>'DETAILED UNIT AREA TABULATION'!#REF!</f>
        <v>#REF!</v>
      </c>
      <c r="G218" s="186" t="e">
        <f>'DETAILED UNIT AREA TABULATION'!#REF!</f>
        <v>#REF!</v>
      </c>
      <c r="H218" s="187"/>
      <c r="I218" s="190" t="e">
        <f>'DETAILED UNIT AREA TABULATION'!#REF!</f>
        <v>#REF!</v>
      </c>
      <c r="J218" s="205" t="e">
        <f t="shared" si="7"/>
        <v>#REF!</v>
      </c>
      <c r="K218" s="188" t="e">
        <f>'DETAILED UNIT AREA TABULATION'!#REF!</f>
        <v>#REF!</v>
      </c>
      <c r="L218" s="191">
        <v>1</v>
      </c>
    </row>
    <row r="219" spans="1:12" ht="15" thickBot="1" x14ac:dyDescent="0.4">
      <c r="A219" s="184">
        <f t="shared" si="8"/>
        <v>214</v>
      </c>
      <c r="B219" s="11" t="s">
        <v>103</v>
      </c>
      <c r="C219" s="12">
        <v>36</v>
      </c>
      <c r="D219" s="155" t="s">
        <v>104</v>
      </c>
      <c r="E219" s="185">
        <v>3</v>
      </c>
      <c r="F219" s="186" t="e">
        <f>'DETAILED UNIT AREA TABULATION'!#REF!</f>
        <v>#REF!</v>
      </c>
      <c r="G219" s="186" t="e">
        <f>'DETAILED UNIT AREA TABULATION'!#REF!</f>
        <v>#REF!</v>
      </c>
      <c r="H219" s="187"/>
      <c r="I219" s="190" t="e">
        <f>'DETAILED UNIT AREA TABULATION'!#REF!</f>
        <v>#REF!</v>
      </c>
      <c r="J219" s="205" t="e">
        <f t="shared" si="7"/>
        <v>#REF!</v>
      </c>
      <c r="K219" s="188" t="e">
        <f>'DETAILED UNIT AREA TABULATION'!#REF!</f>
        <v>#REF!</v>
      </c>
      <c r="L219" s="191">
        <v>1</v>
      </c>
    </row>
    <row r="220" spans="1:12" ht="15" thickBot="1" x14ac:dyDescent="0.4">
      <c r="A220" s="184">
        <f t="shared" si="8"/>
        <v>215</v>
      </c>
      <c r="B220" s="11" t="s">
        <v>103</v>
      </c>
      <c r="C220" s="12">
        <v>37</v>
      </c>
      <c r="D220" s="172" t="s">
        <v>33</v>
      </c>
      <c r="E220" s="185">
        <v>3</v>
      </c>
      <c r="F220" s="186" t="e">
        <f>'DETAILED UNIT AREA TABULATION'!#REF!</f>
        <v>#REF!</v>
      </c>
      <c r="G220" s="186" t="e">
        <f>'DETAILED UNIT AREA TABULATION'!#REF!</f>
        <v>#REF!</v>
      </c>
      <c r="H220" s="187"/>
      <c r="I220" s="190" t="e">
        <f>'DETAILED UNIT AREA TABULATION'!#REF!</f>
        <v>#REF!</v>
      </c>
      <c r="J220" s="205" t="e">
        <f t="shared" si="7"/>
        <v>#REF!</v>
      </c>
      <c r="K220" s="188" t="e">
        <f>'DETAILED UNIT AREA TABULATION'!#REF!</f>
        <v>#REF!</v>
      </c>
      <c r="L220" s="191">
        <v>1</v>
      </c>
    </row>
    <row r="221" spans="1:12" ht="15" thickBot="1" x14ac:dyDescent="0.4">
      <c r="A221" s="184">
        <f t="shared" si="8"/>
        <v>216</v>
      </c>
      <c r="B221" s="11" t="s">
        <v>103</v>
      </c>
      <c r="C221" s="12">
        <v>38</v>
      </c>
      <c r="D221" s="156" t="s">
        <v>33</v>
      </c>
      <c r="E221" s="173">
        <v>3</v>
      </c>
      <c r="F221" s="186" t="e">
        <f>'DETAILED UNIT AREA TABULATION'!#REF!</f>
        <v>#REF!</v>
      </c>
      <c r="G221" s="186" t="e">
        <f>'DETAILED UNIT AREA TABULATION'!#REF!</f>
        <v>#REF!</v>
      </c>
      <c r="H221" s="192"/>
      <c r="I221" s="193" t="e">
        <f>'DETAILED UNIT AREA TABULATION'!#REF!</f>
        <v>#REF!</v>
      </c>
      <c r="J221" s="206" t="e">
        <f t="shared" si="7"/>
        <v>#REF!</v>
      </c>
      <c r="K221" s="188" t="e">
        <f>'DETAILED UNIT AREA TABULATION'!#REF!</f>
        <v>#REF!</v>
      </c>
      <c r="L221" s="191">
        <v>1</v>
      </c>
    </row>
    <row r="222" spans="1:12" ht="15" thickBot="1" x14ac:dyDescent="0.4">
      <c r="A222" s="184">
        <f t="shared" si="8"/>
        <v>217</v>
      </c>
      <c r="B222" s="11" t="s">
        <v>103</v>
      </c>
      <c r="C222" s="12">
        <v>41</v>
      </c>
      <c r="D222" s="154" t="s">
        <v>35</v>
      </c>
      <c r="E222" s="185">
        <v>4</v>
      </c>
      <c r="F222" s="186" t="e">
        <f>'DETAILED UNIT AREA TABULATION'!#REF!</f>
        <v>#REF!</v>
      </c>
      <c r="G222" s="186" t="e">
        <f>'DETAILED UNIT AREA TABULATION'!#REF!</f>
        <v>#REF!</v>
      </c>
      <c r="H222" s="187"/>
      <c r="I222" s="190" t="e">
        <f>'DETAILED UNIT AREA TABULATION'!#REF!</f>
        <v>#REF!</v>
      </c>
      <c r="J222" s="205" t="e">
        <f t="shared" si="7"/>
        <v>#REF!</v>
      </c>
      <c r="K222" s="188" t="e">
        <f>'DETAILED UNIT AREA TABULATION'!#REF!</f>
        <v>#REF!</v>
      </c>
      <c r="L222" s="191">
        <v>1</v>
      </c>
    </row>
    <row r="223" spans="1:12" ht="15" thickBot="1" x14ac:dyDescent="0.4">
      <c r="A223" s="184">
        <f t="shared" si="8"/>
        <v>218</v>
      </c>
      <c r="B223" s="11" t="s">
        <v>103</v>
      </c>
      <c r="C223" s="12">
        <v>42</v>
      </c>
      <c r="D223" s="155" t="s">
        <v>35</v>
      </c>
      <c r="E223" s="185">
        <v>4</v>
      </c>
      <c r="F223" s="186" t="e">
        <f>'DETAILED UNIT AREA TABULATION'!#REF!</f>
        <v>#REF!</v>
      </c>
      <c r="G223" s="186" t="e">
        <f>'DETAILED UNIT AREA TABULATION'!#REF!</f>
        <v>#REF!</v>
      </c>
      <c r="H223" s="187"/>
      <c r="I223" s="190" t="e">
        <f>'DETAILED UNIT AREA TABULATION'!#REF!</f>
        <v>#REF!</v>
      </c>
      <c r="J223" s="205" t="e">
        <f t="shared" si="7"/>
        <v>#REF!</v>
      </c>
      <c r="K223" s="188" t="e">
        <f>'DETAILED UNIT AREA TABULATION'!#REF!</f>
        <v>#REF!</v>
      </c>
      <c r="L223" s="191">
        <v>1</v>
      </c>
    </row>
    <row r="224" spans="1:12" ht="15" thickBot="1" x14ac:dyDescent="0.4">
      <c r="A224" s="184">
        <f t="shared" si="8"/>
        <v>219</v>
      </c>
      <c r="B224" s="11" t="s">
        <v>103</v>
      </c>
      <c r="C224" s="12">
        <v>43</v>
      </c>
      <c r="D224" s="155" t="s">
        <v>35</v>
      </c>
      <c r="E224" s="185">
        <v>4</v>
      </c>
      <c r="F224" s="186" t="e">
        <f>'DETAILED UNIT AREA TABULATION'!#REF!</f>
        <v>#REF!</v>
      </c>
      <c r="G224" s="186" t="e">
        <f>'DETAILED UNIT AREA TABULATION'!#REF!</f>
        <v>#REF!</v>
      </c>
      <c r="H224" s="187"/>
      <c r="I224" s="190" t="e">
        <f>'DETAILED UNIT AREA TABULATION'!#REF!</f>
        <v>#REF!</v>
      </c>
      <c r="J224" s="205" t="e">
        <f t="shared" si="7"/>
        <v>#REF!</v>
      </c>
      <c r="K224" s="188" t="e">
        <f>'DETAILED UNIT AREA TABULATION'!#REF!</f>
        <v>#REF!</v>
      </c>
      <c r="L224" s="191">
        <v>1</v>
      </c>
    </row>
    <row r="225" spans="1:12" ht="15" thickBot="1" x14ac:dyDescent="0.4">
      <c r="A225" s="184">
        <f t="shared" si="8"/>
        <v>220</v>
      </c>
      <c r="B225" s="11" t="s">
        <v>103</v>
      </c>
      <c r="C225" s="12">
        <v>44</v>
      </c>
      <c r="D225" s="155" t="s">
        <v>35</v>
      </c>
      <c r="E225" s="185">
        <v>4</v>
      </c>
      <c r="F225" s="186" t="e">
        <f>'DETAILED UNIT AREA TABULATION'!#REF!</f>
        <v>#REF!</v>
      </c>
      <c r="G225" s="186" t="e">
        <f>'DETAILED UNIT AREA TABULATION'!#REF!</f>
        <v>#REF!</v>
      </c>
      <c r="H225" s="187"/>
      <c r="I225" s="190" t="e">
        <f>'DETAILED UNIT AREA TABULATION'!#REF!</f>
        <v>#REF!</v>
      </c>
      <c r="J225" s="205" t="e">
        <f t="shared" si="7"/>
        <v>#REF!</v>
      </c>
      <c r="K225" s="188" t="e">
        <f>'DETAILED UNIT AREA TABULATION'!#REF!</f>
        <v>#REF!</v>
      </c>
      <c r="L225" s="191">
        <v>1</v>
      </c>
    </row>
    <row r="226" spans="1:12" ht="15" thickBot="1" x14ac:dyDescent="0.4">
      <c r="A226" s="184">
        <f t="shared" si="8"/>
        <v>221</v>
      </c>
      <c r="B226" s="11" t="s">
        <v>103</v>
      </c>
      <c r="C226" s="12">
        <v>45</v>
      </c>
      <c r="D226" s="155" t="s">
        <v>104</v>
      </c>
      <c r="E226" s="185">
        <v>4</v>
      </c>
      <c r="F226" s="186" t="e">
        <f>'DETAILED UNIT AREA TABULATION'!#REF!</f>
        <v>#REF!</v>
      </c>
      <c r="G226" s="186" t="e">
        <f>'DETAILED UNIT AREA TABULATION'!#REF!</f>
        <v>#REF!</v>
      </c>
      <c r="H226" s="187"/>
      <c r="I226" s="190" t="e">
        <f>'DETAILED UNIT AREA TABULATION'!#REF!</f>
        <v>#REF!</v>
      </c>
      <c r="J226" s="205" t="e">
        <f t="shared" si="7"/>
        <v>#REF!</v>
      </c>
      <c r="K226" s="188" t="e">
        <f>'DETAILED UNIT AREA TABULATION'!#REF!</f>
        <v>#REF!</v>
      </c>
      <c r="L226" s="191">
        <v>1</v>
      </c>
    </row>
    <row r="227" spans="1:12" ht="15" thickBot="1" x14ac:dyDescent="0.4">
      <c r="A227" s="184">
        <f t="shared" si="8"/>
        <v>222</v>
      </c>
      <c r="B227" s="11" t="s">
        <v>103</v>
      </c>
      <c r="C227" s="12">
        <v>46</v>
      </c>
      <c r="D227" s="155" t="s">
        <v>104</v>
      </c>
      <c r="E227" s="185">
        <v>4</v>
      </c>
      <c r="F227" s="186" t="e">
        <f>'DETAILED UNIT AREA TABULATION'!#REF!</f>
        <v>#REF!</v>
      </c>
      <c r="G227" s="186" t="e">
        <f>'DETAILED UNIT AREA TABULATION'!#REF!</f>
        <v>#REF!</v>
      </c>
      <c r="H227" s="187"/>
      <c r="I227" s="190" t="e">
        <f>'DETAILED UNIT AREA TABULATION'!#REF!</f>
        <v>#REF!</v>
      </c>
      <c r="J227" s="205" t="e">
        <f t="shared" si="7"/>
        <v>#REF!</v>
      </c>
      <c r="K227" s="188" t="e">
        <f>'DETAILED UNIT AREA TABULATION'!#REF!</f>
        <v>#REF!</v>
      </c>
      <c r="L227" s="191">
        <v>1</v>
      </c>
    </row>
    <row r="228" spans="1:12" ht="15" thickBot="1" x14ac:dyDescent="0.4">
      <c r="A228" s="184">
        <f t="shared" si="8"/>
        <v>223</v>
      </c>
      <c r="B228" s="11" t="s">
        <v>103</v>
      </c>
      <c r="C228" s="12">
        <v>47</v>
      </c>
      <c r="D228" s="172" t="s">
        <v>33</v>
      </c>
      <c r="E228" s="185">
        <v>4</v>
      </c>
      <c r="F228" s="186" t="e">
        <f>'DETAILED UNIT AREA TABULATION'!#REF!</f>
        <v>#REF!</v>
      </c>
      <c r="G228" s="186" t="e">
        <f>'DETAILED UNIT AREA TABULATION'!#REF!</f>
        <v>#REF!</v>
      </c>
      <c r="H228" s="187"/>
      <c r="I228" s="190" t="e">
        <f>'DETAILED UNIT AREA TABULATION'!#REF!</f>
        <v>#REF!</v>
      </c>
      <c r="J228" s="205" t="e">
        <f t="shared" si="7"/>
        <v>#REF!</v>
      </c>
      <c r="K228" s="188" t="e">
        <f>'DETAILED UNIT AREA TABULATION'!#REF!</f>
        <v>#REF!</v>
      </c>
      <c r="L228" s="191">
        <v>1</v>
      </c>
    </row>
    <row r="229" spans="1:12" ht="15" thickBot="1" x14ac:dyDescent="0.4">
      <c r="A229" s="184">
        <f t="shared" si="8"/>
        <v>224</v>
      </c>
      <c r="B229" s="11" t="s">
        <v>103</v>
      </c>
      <c r="C229" s="12">
        <v>48</v>
      </c>
      <c r="D229" s="156" t="s">
        <v>33</v>
      </c>
      <c r="E229" s="173">
        <v>4</v>
      </c>
      <c r="F229" s="186" t="e">
        <f>'DETAILED UNIT AREA TABULATION'!#REF!</f>
        <v>#REF!</v>
      </c>
      <c r="G229" s="186" t="e">
        <f>'DETAILED UNIT AREA TABULATION'!#REF!</f>
        <v>#REF!</v>
      </c>
      <c r="H229" s="192"/>
      <c r="I229" s="193" t="e">
        <f>'DETAILED UNIT AREA TABULATION'!#REF!</f>
        <v>#REF!</v>
      </c>
      <c r="J229" s="206" t="e">
        <f t="shared" si="7"/>
        <v>#REF!</v>
      </c>
      <c r="K229" s="188" t="e">
        <f>'DETAILED UNIT AREA TABULATION'!#REF!</f>
        <v>#REF!</v>
      </c>
      <c r="L229" s="191">
        <v>1</v>
      </c>
    </row>
    <row r="230" spans="1:12" ht="15" thickBot="1" x14ac:dyDescent="0.4">
      <c r="A230" s="184">
        <f t="shared" si="8"/>
        <v>225</v>
      </c>
      <c r="B230" s="11" t="s">
        <v>103</v>
      </c>
      <c r="C230" s="12">
        <v>51</v>
      </c>
      <c r="D230" s="154" t="s">
        <v>35</v>
      </c>
      <c r="E230" s="185">
        <v>5</v>
      </c>
      <c r="F230" s="186" t="e">
        <f>'DETAILED UNIT AREA TABULATION'!#REF!</f>
        <v>#REF!</v>
      </c>
      <c r="G230" s="186" t="e">
        <f>'DETAILED UNIT AREA TABULATION'!#REF!</f>
        <v>#REF!</v>
      </c>
      <c r="H230" s="187"/>
      <c r="I230" s="190" t="e">
        <f>'DETAILED UNIT AREA TABULATION'!#REF!</f>
        <v>#REF!</v>
      </c>
      <c r="J230" s="205" t="e">
        <f t="shared" si="7"/>
        <v>#REF!</v>
      </c>
      <c r="K230" s="188" t="e">
        <f>'DETAILED UNIT AREA TABULATION'!#REF!</f>
        <v>#REF!</v>
      </c>
      <c r="L230" s="191">
        <v>1</v>
      </c>
    </row>
    <row r="231" spans="1:12" ht="15" thickBot="1" x14ac:dyDescent="0.4">
      <c r="A231" s="184">
        <f t="shared" si="8"/>
        <v>226</v>
      </c>
      <c r="B231" s="11" t="s">
        <v>103</v>
      </c>
      <c r="C231" s="12">
        <v>52</v>
      </c>
      <c r="D231" s="155" t="s">
        <v>35</v>
      </c>
      <c r="E231" s="185">
        <v>5</v>
      </c>
      <c r="F231" s="186" t="e">
        <f>'DETAILED UNIT AREA TABULATION'!#REF!</f>
        <v>#REF!</v>
      </c>
      <c r="G231" s="186" t="e">
        <f>'DETAILED UNIT AREA TABULATION'!#REF!</f>
        <v>#REF!</v>
      </c>
      <c r="H231" s="187"/>
      <c r="I231" s="190" t="e">
        <f>'DETAILED UNIT AREA TABULATION'!#REF!</f>
        <v>#REF!</v>
      </c>
      <c r="J231" s="205" t="e">
        <f t="shared" si="7"/>
        <v>#REF!</v>
      </c>
      <c r="K231" s="188" t="e">
        <f>'DETAILED UNIT AREA TABULATION'!#REF!</f>
        <v>#REF!</v>
      </c>
      <c r="L231" s="191">
        <v>1</v>
      </c>
    </row>
    <row r="232" spans="1:12" ht="15" thickBot="1" x14ac:dyDescent="0.4">
      <c r="A232" s="184">
        <f t="shared" si="8"/>
        <v>227</v>
      </c>
      <c r="B232" s="11" t="s">
        <v>103</v>
      </c>
      <c r="C232" s="12">
        <v>53</v>
      </c>
      <c r="D232" s="155" t="s">
        <v>35</v>
      </c>
      <c r="E232" s="185">
        <v>5</v>
      </c>
      <c r="F232" s="186" t="e">
        <f>'DETAILED UNIT AREA TABULATION'!#REF!</f>
        <v>#REF!</v>
      </c>
      <c r="G232" s="186" t="e">
        <f>'DETAILED UNIT AREA TABULATION'!#REF!</f>
        <v>#REF!</v>
      </c>
      <c r="H232" s="187"/>
      <c r="I232" s="190" t="e">
        <f>'DETAILED UNIT AREA TABULATION'!#REF!</f>
        <v>#REF!</v>
      </c>
      <c r="J232" s="205" t="e">
        <f t="shared" si="7"/>
        <v>#REF!</v>
      </c>
      <c r="K232" s="188" t="e">
        <f>'DETAILED UNIT AREA TABULATION'!#REF!</f>
        <v>#REF!</v>
      </c>
      <c r="L232" s="191">
        <v>1</v>
      </c>
    </row>
    <row r="233" spans="1:12" ht="15" thickBot="1" x14ac:dyDescent="0.4">
      <c r="A233" s="184">
        <f t="shared" si="8"/>
        <v>228</v>
      </c>
      <c r="B233" s="11" t="s">
        <v>103</v>
      </c>
      <c r="C233" s="12">
        <v>54</v>
      </c>
      <c r="D233" s="155" t="s">
        <v>35</v>
      </c>
      <c r="E233" s="185">
        <v>5</v>
      </c>
      <c r="F233" s="186" t="e">
        <f>'DETAILED UNIT AREA TABULATION'!#REF!</f>
        <v>#REF!</v>
      </c>
      <c r="G233" s="186" t="e">
        <f>'DETAILED UNIT AREA TABULATION'!#REF!</f>
        <v>#REF!</v>
      </c>
      <c r="H233" s="187"/>
      <c r="I233" s="190" t="e">
        <f>'DETAILED UNIT AREA TABULATION'!#REF!</f>
        <v>#REF!</v>
      </c>
      <c r="J233" s="205" t="e">
        <f t="shared" si="7"/>
        <v>#REF!</v>
      </c>
      <c r="K233" s="188" t="e">
        <f>'DETAILED UNIT AREA TABULATION'!#REF!</f>
        <v>#REF!</v>
      </c>
      <c r="L233" s="191">
        <v>1</v>
      </c>
    </row>
    <row r="234" spans="1:12" ht="15" thickBot="1" x14ac:dyDescent="0.4">
      <c r="A234" s="184">
        <f t="shared" si="8"/>
        <v>229</v>
      </c>
      <c r="B234" s="11" t="s">
        <v>103</v>
      </c>
      <c r="C234" s="12">
        <v>55</v>
      </c>
      <c r="D234" s="155" t="s">
        <v>104</v>
      </c>
      <c r="E234" s="185">
        <v>5</v>
      </c>
      <c r="F234" s="186" t="e">
        <f>'DETAILED UNIT AREA TABULATION'!#REF!</f>
        <v>#REF!</v>
      </c>
      <c r="G234" s="186" t="e">
        <f>'DETAILED UNIT AREA TABULATION'!#REF!</f>
        <v>#REF!</v>
      </c>
      <c r="H234" s="187"/>
      <c r="I234" s="190" t="e">
        <f>'DETAILED UNIT AREA TABULATION'!#REF!</f>
        <v>#REF!</v>
      </c>
      <c r="J234" s="205" t="e">
        <f t="shared" si="7"/>
        <v>#REF!</v>
      </c>
      <c r="K234" s="188" t="e">
        <f>'DETAILED UNIT AREA TABULATION'!#REF!</f>
        <v>#REF!</v>
      </c>
      <c r="L234" s="191">
        <v>1</v>
      </c>
    </row>
    <row r="235" spans="1:12" ht="15" thickBot="1" x14ac:dyDescent="0.4">
      <c r="A235" s="184">
        <f t="shared" si="8"/>
        <v>230</v>
      </c>
      <c r="B235" s="11" t="s">
        <v>103</v>
      </c>
      <c r="C235" s="12">
        <v>56</v>
      </c>
      <c r="D235" s="155" t="s">
        <v>104</v>
      </c>
      <c r="E235" s="185">
        <v>5</v>
      </c>
      <c r="F235" s="186" t="e">
        <f>'DETAILED UNIT AREA TABULATION'!#REF!</f>
        <v>#REF!</v>
      </c>
      <c r="G235" s="186" t="e">
        <f>'DETAILED UNIT AREA TABULATION'!#REF!</f>
        <v>#REF!</v>
      </c>
      <c r="H235" s="187"/>
      <c r="I235" s="190" t="e">
        <f>'DETAILED UNIT AREA TABULATION'!#REF!</f>
        <v>#REF!</v>
      </c>
      <c r="J235" s="205" t="e">
        <f t="shared" si="7"/>
        <v>#REF!</v>
      </c>
      <c r="K235" s="188" t="e">
        <f>'DETAILED UNIT AREA TABULATION'!#REF!</f>
        <v>#REF!</v>
      </c>
      <c r="L235" s="191">
        <v>1</v>
      </c>
    </row>
    <row r="236" spans="1:12" ht="15" thickBot="1" x14ac:dyDescent="0.4">
      <c r="A236" s="184">
        <f t="shared" si="8"/>
        <v>231</v>
      </c>
      <c r="B236" s="11" t="s">
        <v>103</v>
      </c>
      <c r="C236" s="12">
        <v>57</v>
      </c>
      <c r="D236" s="172" t="s">
        <v>33</v>
      </c>
      <c r="E236" s="185">
        <v>5</v>
      </c>
      <c r="F236" s="186" t="e">
        <f>'DETAILED UNIT AREA TABULATION'!#REF!</f>
        <v>#REF!</v>
      </c>
      <c r="G236" s="186" t="e">
        <f>'DETAILED UNIT AREA TABULATION'!#REF!</f>
        <v>#REF!</v>
      </c>
      <c r="H236" s="187"/>
      <c r="I236" s="190" t="e">
        <f>'DETAILED UNIT AREA TABULATION'!#REF!</f>
        <v>#REF!</v>
      </c>
      <c r="J236" s="205" t="e">
        <f t="shared" si="7"/>
        <v>#REF!</v>
      </c>
      <c r="K236" s="188" t="e">
        <f>'DETAILED UNIT AREA TABULATION'!#REF!</f>
        <v>#REF!</v>
      </c>
      <c r="L236" s="191">
        <v>1</v>
      </c>
    </row>
    <row r="237" spans="1:12" ht="15" thickBot="1" x14ac:dyDescent="0.4">
      <c r="A237" s="184">
        <f t="shared" si="8"/>
        <v>232</v>
      </c>
      <c r="B237" s="11" t="s">
        <v>103</v>
      </c>
      <c r="C237" s="12">
        <v>58</v>
      </c>
      <c r="D237" s="156" t="s">
        <v>33</v>
      </c>
      <c r="E237" s="173">
        <v>5</v>
      </c>
      <c r="F237" s="186" t="e">
        <f>'DETAILED UNIT AREA TABULATION'!#REF!</f>
        <v>#REF!</v>
      </c>
      <c r="G237" s="186" t="e">
        <f>'DETAILED UNIT AREA TABULATION'!#REF!</f>
        <v>#REF!</v>
      </c>
      <c r="H237" s="192"/>
      <c r="I237" s="193" t="e">
        <f>'DETAILED UNIT AREA TABULATION'!#REF!</f>
        <v>#REF!</v>
      </c>
      <c r="J237" s="206" t="e">
        <f t="shared" si="7"/>
        <v>#REF!</v>
      </c>
      <c r="K237" s="188" t="e">
        <f>'DETAILED UNIT AREA TABULATION'!#REF!</f>
        <v>#REF!</v>
      </c>
      <c r="L237" s="191">
        <v>1</v>
      </c>
    </row>
    <row r="238" spans="1:12" ht="15" thickBot="1" x14ac:dyDescent="0.4">
      <c r="A238" s="184">
        <f t="shared" si="8"/>
        <v>233</v>
      </c>
      <c r="B238" s="11" t="s">
        <v>103</v>
      </c>
      <c r="C238" s="12">
        <v>61</v>
      </c>
      <c r="D238" s="154" t="s">
        <v>35</v>
      </c>
      <c r="E238" s="185">
        <v>6</v>
      </c>
      <c r="F238" s="186" t="e">
        <f>'DETAILED UNIT AREA TABULATION'!#REF!</f>
        <v>#REF!</v>
      </c>
      <c r="G238" s="186" t="e">
        <f>'DETAILED UNIT AREA TABULATION'!#REF!</f>
        <v>#REF!</v>
      </c>
      <c r="H238" s="187"/>
      <c r="I238" s="190" t="e">
        <f>'DETAILED UNIT AREA TABULATION'!#REF!</f>
        <v>#REF!</v>
      </c>
      <c r="J238" s="205" t="e">
        <f t="shared" si="7"/>
        <v>#REF!</v>
      </c>
      <c r="K238" s="188" t="e">
        <f>'DETAILED UNIT AREA TABULATION'!#REF!</f>
        <v>#REF!</v>
      </c>
      <c r="L238" s="191">
        <v>1</v>
      </c>
    </row>
    <row r="239" spans="1:12" ht="15" thickBot="1" x14ac:dyDescent="0.4">
      <c r="A239" s="184">
        <f t="shared" si="8"/>
        <v>234</v>
      </c>
      <c r="B239" s="11" t="s">
        <v>103</v>
      </c>
      <c r="C239" s="12">
        <v>62</v>
      </c>
      <c r="D239" s="155" t="s">
        <v>35</v>
      </c>
      <c r="E239" s="185">
        <v>6</v>
      </c>
      <c r="F239" s="186" t="e">
        <f>'DETAILED UNIT AREA TABULATION'!#REF!</f>
        <v>#REF!</v>
      </c>
      <c r="G239" s="186" t="e">
        <f>'DETAILED UNIT AREA TABULATION'!#REF!</f>
        <v>#REF!</v>
      </c>
      <c r="H239" s="187"/>
      <c r="I239" s="190" t="e">
        <f>'DETAILED UNIT AREA TABULATION'!#REF!</f>
        <v>#REF!</v>
      </c>
      <c r="J239" s="205" t="e">
        <f t="shared" si="7"/>
        <v>#REF!</v>
      </c>
      <c r="K239" s="188" t="e">
        <f>'DETAILED UNIT AREA TABULATION'!#REF!</f>
        <v>#REF!</v>
      </c>
      <c r="L239" s="191">
        <v>1</v>
      </c>
    </row>
    <row r="240" spans="1:12" ht="15" thickBot="1" x14ac:dyDescent="0.4">
      <c r="A240" s="184">
        <f t="shared" si="8"/>
        <v>235</v>
      </c>
      <c r="B240" s="11" t="s">
        <v>103</v>
      </c>
      <c r="C240" s="12">
        <v>63</v>
      </c>
      <c r="D240" s="155" t="s">
        <v>35</v>
      </c>
      <c r="E240" s="185">
        <v>6</v>
      </c>
      <c r="F240" s="186" t="e">
        <f>'DETAILED UNIT AREA TABULATION'!#REF!</f>
        <v>#REF!</v>
      </c>
      <c r="G240" s="186" t="e">
        <f>'DETAILED UNIT AREA TABULATION'!#REF!</f>
        <v>#REF!</v>
      </c>
      <c r="H240" s="187"/>
      <c r="I240" s="190" t="e">
        <f>'DETAILED UNIT AREA TABULATION'!#REF!</f>
        <v>#REF!</v>
      </c>
      <c r="J240" s="205" t="e">
        <f t="shared" si="7"/>
        <v>#REF!</v>
      </c>
      <c r="K240" s="188" t="e">
        <f>'DETAILED UNIT AREA TABULATION'!#REF!</f>
        <v>#REF!</v>
      </c>
      <c r="L240" s="191">
        <v>1</v>
      </c>
    </row>
    <row r="241" spans="1:12" ht="15" thickBot="1" x14ac:dyDescent="0.4">
      <c r="A241" s="184">
        <f t="shared" si="8"/>
        <v>236</v>
      </c>
      <c r="B241" s="11" t="s">
        <v>103</v>
      </c>
      <c r="C241" s="12">
        <v>64</v>
      </c>
      <c r="D241" s="155" t="s">
        <v>35</v>
      </c>
      <c r="E241" s="185">
        <v>6</v>
      </c>
      <c r="F241" s="186" t="e">
        <f>'DETAILED UNIT AREA TABULATION'!#REF!</f>
        <v>#REF!</v>
      </c>
      <c r="G241" s="186" t="e">
        <f>'DETAILED UNIT AREA TABULATION'!#REF!</f>
        <v>#REF!</v>
      </c>
      <c r="H241" s="187"/>
      <c r="I241" s="190" t="e">
        <f>'DETAILED UNIT AREA TABULATION'!#REF!</f>
        <v>#REF!</v>
      </c>
      <c r="J241" s="205" t="e">
        <f t="shared" si="7"/>
        <v>#REF!</v>
      </c>
      <c r="K241" s="188" t="e">
        <f>'DETAILED UNIT AREA TABULATION'!#REF!</f>
        <v>#REF!</v>
      </c>
      <c r="L241" s="191">
        <v>1</v>
      </c>
    </row>
    <row r="242" spans="1:12" ht="15" thickBot="1" x14ac:dyDescent="0.4">
      <c r="A242" s="184">
        <f t="shared" si="8"/>
        <v>237</v>
      </c>
      <c r="B242" s="11" t="s">
        <v>103</v>
      </c>
      <c r="C242" s="12">
        <v>65</v>
      </c>
      <c r="D242" s="155" t="s">
        <v>104</v>
      </c>
      <c r="E242" s="185">
        <v>6</v>
      </c>
      <c r="F242" s="186" t="e">
        <f>'DETAILED UNIT AREA TABULATION'!#REF!</f>
        <v>#REF!</v>
      </c>
      <c r="G242" s="186" t="e">
        <f>'DETAILED UNIT AREA TABULATION'!#REF!</f>
        <v>#REF!</v>
      </c>
      <c r="H242" s="187"/>
      <c r="I242" s="190" t="e">
        <f>'DETAILED UNIT AREA TABULATION'!#REF!</f>
        <v>#REF!</v>
      </c>
      <c r="J242" s="205" t="e">
        <f t="shared" si="7"/>
        <v>#REF!</v>
      </c>
      <c r="K242" s="188" t="e">
        <f>'DETAILED UNIT AREA TABULATION'!#REF!</f>
        <v>#REF!</v>
      </c>
      <c r="L242" s="191">
        <v>1</v>
      </c>
    </row>
    <row r="243" spans="1:12" ht="15" thickBot="1" x14ac:dyDescent="0.4">
      <c r="A243" s="184">
        <f t="shared" si="8"/>
        <v>238</v>
      </c>
      <c r="B243" s="11" t="s">
        <v>103</v>
      </c>
      <c r="C243" s="12">
        <v>66</v>
      </c>
      <c r="D243" s="155" t="s">
        <v>104</v>
      </c>
      <c r="E243" s="185">
        <v>6</v>
      </c>
      <c r="F243" s="186" t="e">
        <f>'DETAILED UNIT AREA TABULATION'!#REF!</f>
        <v>#REF!</v>
      </c>
      <c r="G243" s="186" t="e">
        <f>'DETAILED UNIT AREA TABULATION'!#REF!</f>
        <v>#REF!</v>
      </c>
      <c r="H243" s="187"/>
      <c r="I243" s="190" t="e">
        <f>'DETAILED UNIT AREA TABULATION'!#REF!</f>
        <v>#REF!</v>
      </c>
      <c r="J243" s="205" t="e">
        <f t="shared" si="7"/>
        <v>#REF!</v>
      </c>
      <c r="K243" s="188" t="e">
        <f>'DETAILED UNIT AREA TABULATION'!#REF!</f>
        <v>#REF!</v>
      </c>
      <c r="L243" s="191">
        <v>1</v>
      </c>
    </row>
    <row r="244" spans="1:12" ht="15" thickBot="1" x14ac:dyDescent="0.4">
      <c r="A244" s="184">
        <f t="shared" si="8"/>
        <v>239</v>
      </c>
      <c r="B244" s="11" t="s">
        <v>103</v>
      </c>
      <c r="C244" s="12">
        <v>67</v>
      </c>
      <c r="D244" s="172" t="s">
        <v>33</v>
      </c>
      <c r="E244" s="185">
        <v>6</v>
      </c>
      <c r="F244" s="186" t="e">
        <f>'DETAILED UNIT AREA TABULATION'!#REF!</f>
        <v>#REF!</v>
      </c>
      <c r="G244" s="186" t="e">
        <f>'DETAILED UNIT AREA TABULATION'!#REF!</f>
        <v>#REF!</v>
      </c>
      <c r="H244" s="187"/>
      <c r="I244" s="190" t="e">
        <f>'DETAILED UNIT AREA TABULATION'!#REF!</f>
        <v>#REF!</v>
      </c>
      <c r="J244" s="205" t="e">
        <f t="shared" si="7"/>
        <v>#REF!</v>
      </c>
      <c r="K244" s="188" t="e">
        <f>'DETAILED UNIT AREA TABULATION'!#REF!</f>
        <v>#REF!</v>
      </c>
      <c r="L244" s="191">
        <v>1</v>
      </c>
    </row>
    <row r="245" spans="1:12" ht="15" thickBot="1" x14ac:dyDescent="0.4">
      <c r="A245" s="184">
        <f t="shared" si="8"/>
        <v>240</v>
      </c>
      <c r="B245" s="11" t="s">
        <v>103</v>
      </c>
      <c r="C245" s="12">
        <v>68</v>
      </c>
      <c r="D245" s="156" t="s">
        <v>33</v>
      </c>
      <c r="E245" s="173">
        <v>6</v>
      </c>
      <c r="F245" s="186" t="e">
        <f>'DETAILED UNIT AREA TABULATION'!#REF!</f>
        <v>#REF!</v>
      </c>
      <c r="G245" s="186" t="e">
        <f>'DETAILED UNIT AREA TABULATION'!#REF!</f>
        <v>#REF!</v>
      </c>
      <c r="H245" s="192"/>
      <c r="I245" s="193" t="e">
        <f>'DETAILED UNIT AREA TABULATION'!#REF!</f>
        <v>#REF!</v>
      </c>
      <c r="J245" s="206" t="e">
        <f t="shared" si="7"/>
        <v>#REF!</v>
      </c>
      <c r="K245" s="188" t="e">
        <f>'DETAILED UNIT AREA TABULATION'!#REF!</f>
        <v>#REF!</v>
      </c>
      <c r="L245" s="191">
        <v>1</v>
      </c>
    </row>
    <row r="246" spans="1:12" ht="15" thickBot="1" x14ac:dyDescent="0.4">
      <c r="A246" s="184">
        <f t="shared" si="8"/>
        <v>241</v>
      </c>
      <c r="B246" s="11" t="s">
        <v>103</v>
      </c>
      <c r="C246" s="12">
        <v>71</v>
      </c>
      <c r="D246" s="154" t="s">
        <v>35</v>
      </c>
      <c r="E246" s="185">
        <v>7</v>
      </c>
      <c r="F246" s="186" t="e">
        <f>'DETAILED UNIT AREA TABULATION'!#REF!</f>
        <v>#REF!</v>
      </c>
      <c r="G246" s="186" t="e">
        <f>'DETAILED UNIT AREA TABULATION'!#REF!</f>
        <v>#REF!</v>
      </c>
      <c r="H246" s="187"/>
      <c r="I246" s="190" t="e">
        <f>'DETAILED UNIT AREA TABULATION'!#REF!</f>
        <v>#REF!</v>
      </c>
      <c r="J246" s="205" t="e">
        <f t="shared" si="7"/>
        <v>#REF!</v>
      </c>
      <c r="K246" s="188" t="e">
        <f>'DETAILED UNIT AREA TABULATION'!#REF!</f>
        <v>#REF!</v>
      </c>
      <c r="L246" s="191">
        <v>1</v>
      </c>
    </row>
    <row r="247" spans="1:12" ht="15" thickBot="1" x14ac:dyDescent="0.4">
      <c r="A247" s="184">
        <f t="shared" si="8"/>
        <v>242</v>
      </c>
      <c r="B247" s="11" t="s">
        <v>103</v>
      </c>
      <c r="C247" s="12">
        <v>72</v>
      </c>
      <c r="D247" s="155" t="s">
        <v>35</v>
      </c>
      <c r="E247" s="185">
        <v>7</v>
      </c>
      <c r="F247" s="186" t="e">
        <f>'DETAILED UNIT AREA TABULATION'!#REF!</f>
        <v>#REF!</v>
      </c>
      <c r="G247" s="186" t="e">
        <f>'DETAILED UNIT AREA TABULATION'!#REF!</f>
        <v>#REF!</v>
      </c>
      <c r="H247" s="187"/>
      <c r="I247" s="190" t="e">
        <f>'DETAILED UNIT AREA TABULATION'!#REF!</f>
        <v>#REF!</v>
      </c>
      <c r="J247" s="205" t="e">
        <f t="shared" si="7"/>
        <v>#REF!</v>
      </c>
      <c r="K247" s="188" t="e">
        <f>'DETAILED UNIT AREA TABULATION'!#REF!</f>
        <v>#REF!</v>
      </c>
      <c r="L247" s="191">
        <v>1</v>
      </c>
    </row>
    <row r="248" spans="1:12" ht="15" thickBot="1" x14ac:dyDescent="0.4">
      <c r="A248" s="184">
        <f t="shared" si="8"/>
        <v>243</v>
      </c>
      <c r="B248" s="11" t="s">
        <v>103</v>
      </c>
      <c r="C248" s="12">
        <v>73</v>
      </c>
      <c r="D248" s="155" t="s">
        <v>35</v>
      </c>
      <c r="E248" s="185">
        <v>7</v>
      </c>
      <c r="F248" s="186" t="e">
        <f>'DETAILED UNIT AREA TABULATION'!#REF!</f>
        <v>#REF!</v>
      </c>
      <c r="G248" s="186" t="e">
        <f>'DETAILED UNIT AREA TABULATION'!#REF!</f>
        <v>#REF!</v>
      </c>
      <c r="H248" s="187"/>
      <c r="I248" s="190" t="e">
        <f>'DETAILED UNIT AREA TABULATION'!#REF!</f>
        <v>#REF!</v>
      </c>
      <c r="J248" s="205" t="e">
        <f t="shared" si="7"/>
        <v>#REF!</v>
      </c>
      <c r="K248" s="188" t="e">
        <f>'DETAILED UNIT AREA TABULATION'!#REF!</f>
        <v>#REF!</v>
      </c>
      <c r="L248" s="191">
        <v>1</v>
      </c>
    </row>
    <row r="249" spans="1:12" ht="15" thickBot="1" x14ac:dyDescent="0.4">
      <c r="A249" s="184">
        <f t="shared" si="8"/>
        <v>244</v>
      </c>
      <c r="B249" s="11" t="s">
        <v>103</v>
      </c>
      <c r="C249" s="12">
        <v>74</v>
      </c>
      <c r="D249" s="155" t="s">
        <v>35</v>
      </c>
      <c r="E249" s="185">
        <v>7</v>
      </c>
      <c r="F249" s="186" t="e">
        <f>'DETAILED UNIT AREA TABULATION'!#REF!</f>
        <v>#REF!</v>
      </c>
      <c r="G249" s="186" t="e">
        <f>'DETAILED UNIT AREA TABULATION'!#REF!</f>
        <v>#REF!</v>
      </c>
      <c r="H249" s="187"/>
      <c r="I249" s="190" t="e">
        <f>'DETAILED UNIT AREA TABULATION'!#REF!</f>
        <v>#REF!</v>
      </c>
      <c r="J249" s="205" t="e">
        <f t="shared" si="7"/>
        <v>#REF!</v>
      </c>
      <c r="K249" s="188" t="e">
        <f>'DETAILED UNIT AREA TABULATION'!#REF!</f>
        <v>#REF!</v>
      </c>
      <c r="L249" s="191">
        <v>1</v>
      </c>
    </row>
    <row r="250" spans="1:12" ht="15" thickBot="1" x14ac:dyDescent="0.4">
      <c r="A250" s="184">
        <f t="shared" si="8"/>
        <v>245</v>
      </c>
      <c r="B250" s="11" t="s">
        <v>103</v>
      </c>
      <c r="C250" s="12">
        <v>75</v>
      </c>
      <c r="D250" s="155" t="s">
        <v>104</v>
      </c>
      <c r="E250" s="185">
        <v>7</v>
      </c>
      <c r="F250" s="186" t="e">
        <f>'DETAILED UNIT AREA TABULATION'!#REF!</f>
        <v>#REF!</v>
      </c>
      <c r="G250" s="186" t="e">
        <f>'DETAILED UNIT AREA TABULATION'!#REF!</f>
        <v>#REF!</v>
      </c>
      <c r="H250" s="187"/>
      <c r="I250" s="190" t="e">
        <f>'DETAILED UNIT AREA TABULATION'!#REF!</f>
        <v>#REF!</v>
      </c>
      <c r="J250" s="205" t="e">
        <f t="shared" si="7"/>
        <v>#REF!</v>
      </c>
      <c r="K250" s="188" t="e">
        <f>'DETAILED UNIT AREA TABULATION'!#REF!</f>
        <v>#REF!</v>
      </c>
      <c r="L250" s="191">
        <v>1</v>
      </c>
    </row>
    <row r="251" spans="1:12" ht="15" thickBot="1" x14ac:dyDescent="0.4">
      <c r="A251" s="184">
        <f t="shared" si="8"/>
        <v>246</v>
      </c>
      <c r="B251" s="11" t="s">
        <v>103</v>
      </c>
      <c r="C251" s="12">
        <v>76</v>
      </c>
      <c r="D251" s="155" t="s">
        <v>104</v>
      </c>
      <c r="E251" s="185">
        <v>7</v>
      </c>
      <c r="F251" s="186" t="e">
        <f>'DETAILED UNIT AREA TABULATION'!#REF!</f>
        <v>#REF!</v>
      </c>
      <c r="G251" s="186" t="e">
        <f>'DETAILED UNIT AREA TABULATION'!#REF!</f>
        <v>#REF!</v>
      </c>
      <c r="H251" s="187"/>
      <c r="I251" s="190" t="e">
        <f>'DETAILED UNIT AREA TABULATION'!#REF!</f>
        <v>#REF!</v>
      </c>
      <c r="J251" s="205" t="e">
        <f t="shared" si="7"/>
        <v>#REF!</v>
      </c>
      <c r="K251" s="188" t="e">
        <f>'DETAILED UNIT AREA TABULATION'!#REF!</f>
        <v>#REF!</v>
      </c>
      <c r="L251" s="191">
        <v>1</v>
      </c>
    </row>
    <row r="252" spans="1:12" ht="15" thickBot="1" x14ac:dyDescent="0.4">
      <c r="A252" s="184">
        <f t="shared" si="8"/>
        <v>247</v>
      </c>
      <c r="B252" s="11" t="s">
        <v>103</v>
      </c>
      <c r="C252" s="12">
        <v>77</v>
      </c>
      <c r="D252" s="172" t="s">
        <v>33</v>
      </c>
      <c r="E252" s="185">
        <v>7</v>
      </c>
      <c r="F252" s="186" t="e">
        <f>'DETAILED UNIT AREA TABULATION'!#REF!</f>
        <v>#REF!</v>
      </c>
      <c r="G252" s="186" t="e">
        <f>'DETAILED UNIT AREA TABULATION'!#REF!</f>
        <v>#REF!</v>
      </c>
      <c r="H252" s="187"/>
      <c r="I252" s="190" t="e">
        <f>'DETAILED UNIT AREA TABULATION'!#REF!</f>
        <v>#REF!</v>
      </c>
      <c r="J252" s="205" t="e">
        <f t="shared" si="7"/>
        <v>#REF!</v>
      </c>
      <c r="K252" s="188" t="e">
        <f>'DETAILED UNIT AREA TABULATION'!#REF!</f>
        <v>#REF!</v>
      </c>
      <c r="L252" s="191">
        <v>1</v>
      </c>
    </row>
    <row r="253" spans="1:12" ht="15" thickBot="1" x14ac:dyDescent="0.4">
      <c r="A253" s="184">
        <f t="shared" si="8"/>
        <v>248</v>
      </c>
      <c r="B253" s="11" t="s">
        <v>103</v>
      </c>
      <c r="C253" s="12">
        <v>78</v>
      </c>
      <c r="D253" s="156" t="s">
        <v>33</v>
      </c>
      <c r="E253" s="173">
        <v>7</v>
      </c>
      <c r="F253" s="186" t="e">
        <f>'DETAILED UNIT AREA TABULATION'!#REF!</f>
        <v>#REF!</v>
      </c>
      <c r="G253" s="186" t="e">
        <f>'DETAILED UNIT AREA TABULATION'!#REF!</f>
        <v>#REF!</v>
      </c>
      <c r="H253" s="192"/>
      <c r="I253" s="193" t="e">
        <f>'DETAILED UNIT AREA TABULATION'!#REF!</f>
        <v>#REF!</v>
      </c>
      <c r="J253" s="206" t="e">
        <f t="shared" si="7"/>
        <v>#REF!</v>
      </c>
      <c r="K253" s="188" t="e">
        <f>'DETAILED UNIT AREA TABULATION'!#REF!</f>
        <v>#REF!</v>
      </c>
      <c r="L253" s="191">
        <v>1</v>
      </c>
    </row>
    <row r="254" spans="1:12" ht="15" thickBot="1" x14ac:dyDescent="0.4">
      <c r="A254" s="184">
        <f t="shared" si="8"/>
        <v>249</v>
      </c>
      <c r="B254" s="11" t="s">
        <v>103</v>
      </c>
      <c r="C254" s="12">
        <v>81</v>
      </c>
      <c r="D254" s="154" t="s">
        <v>35</v>
      </c>
      <c r="E254" s="185">
        <v>8</v>
      </c>
      <c r="F254" s="186" t="e">
        <f>'DETAILED UNIT AREA TABULATION'!#REF!</f>
        <v>#REF!</v>
      </c>
      <c r="G254" s="186" t="e">
        <f>'DETAILED UNIT AREA TABULATION'!#REF!</f>
        <v>#REF!</v>
      </c>
      <c r="H254" s="187"/>
      <c r="I254" s="190" t="e">
        <f>'DETAILED UNIT AREA TABULATION'!#REF!</f>
        <v>#REF!</v>
      </c>
      <c r="J254" s="205" t="e">
        <f t="shared" si="7"/>
        <v>#REF!</v>
      </c>
      <c r="K254" s="188" t="e">
        <f>'DETAILED UNIT AREA TABULATION'!#REF!</f>
        <v>#REF!</v>
      </c>
      <c r="L254" s="191">
        <v>1</v>
      </c>
    </row>
    <row r="255" spans="1:12" ht="15" thickBot="1" x14ac:dyDescent="0.4">
      <c r="A255" s="184">
        <f t="shared" si="8"/>
        <v>250</v>
      </c>
      <c r="B255" s="11" t="s">
        <v>103</v>
      </c>
      <c r="C255" s="12">
        <v>82</v>
      </c>
      <c r="D255" s="155" t="s">
        <v>35</v>
      </c>
      <c r="E255" s="185">
        <v>8</v>
      </c>
      <c r="F255" s="186" t="e">
        <f>'DETAILED UNIT AREA TABULATION'!#REF!</f>
        <v>#REF!</v>
      </c>
      <c r="G255" s="186" t="e">
        <f>'DETAILED UNIT AREA TABULATION'!#REF!</f>
        <v>#REF!</v>
      </c>
      <c r="H255" s="187"/>
      <c r="I255" s="190" t="e">
        <f>'DETAILED UNIT AREA TABULATION'!#REF!</f>
        <v>#REF!</v>
      </c>
      <c r="J255" s="205" t="e">
        <f t="shared" si="7"/>
        <v>#REF!</v>
      </c>
      <c r="K255" s="188" t="e">
        <f>'DETAILED UNIT AREA TABULATION'!#REF!</f>
        <v>#REF!</v>
      </c>
      <c r="L255" s="191">
        <v>1</v>
      </c>
    </row>
    <row r="256" spans="1:12" ht="15" thickBot="1" x14ac:dyDescent="0.4">
      <c r="A256" s="184">
        <f t="shared" si="8"/>
        <v>251</v>
      </c>
      <c r="B256" s="11" t="s">
        <v>103</v>
      </c>
      <c r="C256" s="12">
        <v>83</v>
      </c>
      <c r="D256" s="155" t="s">
        <v>35</v>
      </c>
      <c r="E256" s="185">
        <v>8</v>
      </c>
      <c r="F256" s="186" t="e">
        <f>'DETAILED UNIT AREA TABULATION'!#REF!</f>
        <v>#REF!</v>
      </c>
      <c r="G256" s="186" t="e">
        <f>'DETAILED UNIT AREA TABULATION'!#REF!</f>
        <v>#REF!</v>
      </c>
      <c r="H256" s="187"/>
      <c r="I256" s="190" t="e">
        <f>'DETAILED UNIT AREA TABULATION'!#REF!</f>
        <v>#REF!</v>
      </c>
      <c r="J256" s="205" t="e">
        <f t="shared" si="7"/>
        <v>#REF!</v>
      </c>
      <c r="K256" s="188" t="e">
        <f>'DETAILED UNIT AREA TABULATION'!#REF!</f>
        <v>#REF!</v>
      </c>
      <c r="L256" s="191">
        <v>1</v>
      </c>
    </row>
    <row r="257" spans="1:12" ht="15" thickBot="1" x14ac:dyDescent="0.4">
      <c r="A257" s="184">
        <f t="shared" si="8"/>
        <v>252</v>
      </c>
      <c r="B257" s="11" t="s">
        <v>103</v>
      </c>
      <c r="C257" s="12">
        <v>84</v>
      </c>
      <c r="D257" s="155" t="s">
        <v>35</v>
      </c>
      <c r="E257" s="185">
        <v>8</v>
      </c>
      <c r="F257" s="186" t="e">
        <f>'DETAILED UNIT AREA TABULATION'!#REF!</f>
        <v>#REF!</v>
      </c>
      <c r="G257" s="186" t="e">
        <f>'DETAILED UNIT AREA TABULATION'!#REF!</f>
        <v>#REF!</v>
      </c>
      <c r="H257" s="187"/>
      <c r="I257" s="190" t="e">
        <f>'DETAILED UNIT AREA TABULATION'!#REF!</f>
        <v>#REF!</v>
      </c>
      <c r="J257" s="205" t="e">
        <f t="shared" si="7"/>
        <v>#REF!</v>
      </c>
      <c r="K257" s="188" t="e">
        <f>'DETAILED UNIT AREA TABULATION'!#REF!</f>
        <v>#REF!</v>
      </c>
      <c r="L257" s="191">
        <v>1</v>
      </c>
    </row>
    <row r="258" spans="1:12" ht="15" thickBot="1" x14ac:dyDescent="0.4">
      <c r="A258" s="184">
        <f t="shared" si="8"/>
        <v>253</v>
      </c>
      <c r="B258" s="11" t="s">
        <v>103</v>
      </c>
      <c r="C258" s="12">
        <v>85</v>
      </c>
      <c r="D258" s="155" t="s">
        <v>104</v>
      </c>
      <c r="E258" s="185">
        <v>8</v>
      </c>
      <c r="F258" s="186" t="e">
        <f>'DETAILED UNIT AREA TABULATION'!#REF!</f>
        <v>#REF!</v>
      </c>
      <c r="G258" s="186" t="e">
        <f>'DETAILED UNIT AREA TABULATION'!#REF!</f>
        <v>#REF!</v>
      </c>
      <c r="H258" s="187"/>
      <c r="I258" s="190" t="e">
        <f>'DETAILED UNIT AREA TABULATION'!#REF!</f>
        <v>#REF!</v>
      </c>
      <c r="J258" s="205" t="e">
        <f t="shared" si="7"/>
        <v>#REF!</v>
      </c>
      <c r="K258" s="188" t="e">
        <f>'DETAILED UNIT AREA TABULATION'!#REF!</f>
        <v>#REF!</v>
      </c>
      <c r="L258" s="191">
        <v>1</v>
      </c>
    </row>
    <row r="259" spans="1:12" ht="15" thickBot="1" x14ac:dyDescent="0.4">
      <c r="A259" s="184">
        <f t="shared" si="8"/>
        <v>254</v>
      </c>
      <c r="B259" s="11" t="s">
        <v>103</v>
      </c>
      <c r="C259" s="12">
        <v>86</v>
      </c>
      <c r="D259" s="155" t="s">
        <v>104</v>
      </c>
      <c r="E259" s="185">
        <v>8</v>
      </c>
      <c r="F259" s="186" t="e">
        <f>'DETAILED UNIT AREA TABULATION'!#REF!</f>
        <v>#REF!</v>
      </c>
      <c r="G259" s="186" t="e">
        <f>'DETAILED UNIT AREA TABULATION'!#REF!</f>
        <v>#REF!</v>
      </c>
      <c r="H259" s="187"/>
      <c r="I259" s="190" t="e">
        <f>'DETAILED UNIT AREA TABULATION'!#REF!</f>
        <v>#REF!</v>
      </c>
      <c r="J259" s="205" t="e">
        <f t="shared" si="7"/>
        <v>#REF!</v>
      </c>
      <c r="K259" s="188" t="e">
        <f>'DETAILED UNIT AREA TABULATION'!#REF!</f>
        <v>#REF!</v>
      </c>
      <c r="L259" s="191">
        <v>1</v>
      </c>
    </row>
    <row r="260" spans="1:12" ht="15" thickBot="1" x14ac:dyDescent="0.4">
      <c r="A260" s="184">
        <f t="shared" si="8"/>
        <v>255</v>
      </c>
      <c r="B260" s="11" t="s">
        <v>103</v>
      </c>
      <c r="C260" s="12">
        <v>87</v>
      </c>
      <c r="D260" s="172" t="s">
        <v>33</v>
      </c>
      <c r="E260" s="185">
        <v>8</v>
      </c>
      <c r="F260" s="186" t="e">
        <f>'DETAILED UNIT AREA TABULATION'!#REF!</f>
        <v>#REF!</v>
      </c>
      <c r="G260" s="186" t="e">
        <f>'DETAILED UNIT AREA TABULATION'!#REF!</f>
        <v>#REF!</v>
      </c>
      <c r="H260" s="187"/>
      <c r="I260" s="190" t="e">
        <f>'DETAILED UNIT AREA TABULATION'!#REF!</f>
        <v>#REF!</v>
      </c>
      <c r="J260" s="205" t="e">
        <f t="shared" si="7"/>
        <v>#REF!</v>
      </c>
      <c r="K260" s="188" t="e">
        <f>'DETAILED UNIT AREA TABULATION'!#REF!</f>
        <v>#REF!</v>
      </c>
      <c r="L260" s="191">
        <v>1</v>
      </c>
    </row>
    <row r="261" spans="1:12" ht="15" thickBot="1" x14ac:dyDescent="0.4">
      <c r="A261" s="194">
        <f t="shared" si="8"/>
        <v>256</v>
      </c>
      <c r="B261" s="124" t="s">
        <v>103</v>
      </c>
      <c r="C261" s="125">
        <v>88</v>
      </c>
      <c r="D261" s="156" t="s">
        <v>33</v>
      </c>
      <c r="E261" s="173">
        <v>8</v>
      </c>
      <c r="F261" s="186" t="e">
        <f>'DETAILED UNIT AREA TABULATION'!#REF!</f>
        <v>#REF!</v>
      </c>
      <c r="G261" s="186" t="e">
        <f>'DETAILED UNIT AREA TABULATION'!#REF!</f>
        <v>#REF!</v>
      </c>
      <c r="H261" s="192"/>
      <c r="I261" s="193" t="e">
        <f>'DETAILED UNIT AREA TABULATION'!#REF!</f>
        <v>#REF!</v>
      </c>
      <c r="J261" s="206" t="e">
        <f t="shared" si="7"/>
        <v>#REF!</v>
      </c>
      <c r="K261" s="188" t="e">
        <f>'DETAILED UNIT AREA TABULATION'!#REF!</f>
        <v>#REF!</v>
      </c>
      <c r="L261" s="196">
        <v>1</v>
      </c>
    </row>
    <row r="262" spans="1:12" ht="45.75" customHeight="1" thickBot="1" x14ac:dyDescent="0.4">
      <c r="A262" s="197"/>
      <c r="B262" s="438" t="s">
        <v>138</v>
      </c>
      <c r="C262" s="438"/>
      <c r="D262" s="198"/>
      <c r="E262" s="198"/>
      <c r="F262" s="199" t="e">
        <f>SUM(F6:F261)</f>
        <v>#REF!</v>
      </c>
      <c r="G262" s="200" t="e">
        <f>SUM(G6:G261)</f>
        <v>#REF!</v>
      </c>
      <c r="H262" s="201"/>
      <c r="I262" s="207" t="e">
        <f>SUM(I6:I261)</f>
        <v>#REF!</v>
      </c>
      <c r="J262" s="199" t="e">
        <f>SUM(J6:J261)</f>
        <v>#REF!</v>
      </c>
      <c r="K262" s="202" t="e">
        <f>SUM(K6:K261)</f>
        <v>#REF!</v>
      </c>
      <c r="L262" s="203">
        <f>SUM(L6:L261)</f>
        <v>256</v>
      </c>
    </row>
    <row r="263" spans="1:12" x14ac:dyDescent="0.35">
      <c r="A263"/>
    </row>
  </sheetData>
  <mergeCells count="4">
    <mergeCell ref="A3:K3"/>
    <mergeCell ref="L3:N3"/>
    <mergeCell ref="L4:N4"/>
    <mergeCell ref="B262:C262"/>
  </mergeCells>
  <pageMargins left="0.7" right="0.7" top="0.75" bottom="0.75" header="0.3" footer="0.3"/>
  <pageSetup paperSize="9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B2:O196"/>
  <sheetViews>
    <sheetView workbookViewId="0">
      <selection activeCell="C28" sqref="C28"/>
    </sheetView>
  </sheetViews>
  <sheetFormatPr defaultColWidth="8.81640625" defaultRowHeight="14.5" x14ac:dyDescent="0.35"/>
  <cols>
    <col min="1" max="1" width="6.54296875" style="41" customWidth="1"/>
    <col min="2" max="2" width="17.54296875" style="40" bestFit="1" customWidth="1"/>
    <col min="3" max="3" width="15.36328125" style="40" customWidth="1"/>
    <col min="4" max="4" width="15.90625" style="40" customWidth="1"/>
    <col min="5" max="5" width="10" style="40" customWidth="1"/>
    <col min="6" max="7" width="14.81640625" style="41" customWidth="1"/>
    <col min="8" max="8" width="16.453125" style="41" customWidth="1"/>
    <col min="9" max="9" width="14.81640625" style="41" customWidth="1"/>
    <col min="10" max="10" width="24.453125" style="52" bestFit="1" customWidth="1"/>
    <col min="11" max="11" width="20.26953125" style="52" customWidth="1"/>
    <col min="12" max="12" width="12.54296875" style="52" customWidth="1"/>
    <col min="13" max="13" width="10.7265625" style="40" customWidth="1"/>
    <col min="14" max="14" width="9" style="40" customWidth="1"/>
    <col min="15" max="15" width="16.1796875" style="41" bestFit="1" customWidth="1"/>
    <col min="16" max="16" width="29.453125" style="41" bestFit="1" customWidth="1"/>
    <col min="17" max="17" width="16.1796875" style="41" bestFit="1" customWidth="1"/>
    <col min="18" max="16384" width="8.81640625" style="41"/>
  </cols>
  <sheetData>
    <row r="2" spans="2:15" ht="21" x14ac:dyDescent="0.5">
      <c r="B2" s="439" t="s">
        <v>360</v>
      </c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1"/>
      <c r="N2" s="50"/>
    </row>
    <row r="3" spans="2:15" ht="39.5" customHeight="1" x14ac:dyDescent="0.35">
      <c r="B3" s="42" t="s">
        <v>0</v>
      </c>
      <c r="C3" s="42" t="s">
        <v>361</v>
      </c>
      <c r="D3" s="42" t="s">
        <v>106</v>
      </c>
      <c r="E3" s="42" t="s">
        <v>4</v>
      </c>
      <c r="F3" s="292" t="s">
        <v>367</v>
      </c>
      <c r="G3" s="292" t="s">
        <v>366</v>
      </c>
      <c r="H3" s="292" t="s">
        <v>363</v>
      </c>
      <c r="I3" s="292" t="s">
        <v>362</v>
      </c>
      <c r="J3" s="42" t="s">
        <v>365</v>
      </c>
      <c r="K3" s="42" t="s">
        <v>364</v>
      </c>
      <c r="L3" s="42"/>
      <c r="M3" s="42" t="s">
        <v>51</v>
      </c>
      <c r="N3" s="233"/>
    </row>
    <row r="4" spans="2:15" x14ac:dyDescent="0.35">
      <c r="B4" s="43"/>
      <c r="C4" s="44"/>
      <c r="D4" s="45"/>
      <c r="E4" s="45"/>
      <c r="F4" s="147"/>
      <c r="G4" s="147"/>
      <c r="H4" s="147"/>
      <c r="I4" s="147"/>
      <c r="J4" s="46"/>
      <c r="K4" s="46"/>
      <c r="L4" s="45"/>
      <c r="M4" s="45"/>
    </row>
    <row r="5" spans="2:15" x14ac:dyDescent="0.35">
      <c r="B5" s="43" t="s">
        <v>50</v>
      </c>
      <c r="C5" s="228">
        <v>3556.94</v>
      </c>
      <c r="D5" s="219">
        <v>0</v>
      </c>
      <c r="E5" s="221">
        <f>C5-F5-H5-I5-K5</f>
        <v>3298.03</v>
      </c>
      <c r="F5" s="220">
        <v>91.91</v>
      </c>
      <c r="G5" s="220">
        <v>130.59</v>
      </c>
      <c r="H5" s="220">
        <v>112.16</v>
      </c>
      <c r="I5" s="296">
        <v>29.9</v>
      </c>
      <c r="J5" s="159">
        <f>94.57+37.07</f>
        <v>131.63999999999999</v>
      </c>
      <c r="K5" s="159">
        <v>24.94</v>
      </c>
      <c r="L5" s="294"/>
      <c r="M5" s="294">
        <f>C5-D5</f>
        <v>3556.94</v>
      </c>
      <c r="N5" s="50"/>
      <c r="O5" s="49"/>
    </row>
    <row r="6" spans="2:15" x14ac:dyDescent="0.35">
      <c r="B6" s="43"/>
      <c r="C6" s="47"/>
      <c r="D6" s="60"/>
      <c r="E6" s="48"/>
      <c r="F6" s="146"/>
      <c r="G6" s="146"/>
      <c r="H6" s="146"/>
      <c r="I6" s="146"/>
      <c r="J6" s="62"/>
      <c r="K6" s="61"/>
      <c r="L6" s="53"/>
      <c r="M6" s="48"/>
      <c r="N6" s="50"/>
      <c r="O6" s="49"/>
    </row>
    <row r="7" spans="2:15" x14ac:dyDescent="0.35">
      <c r="B7" s="43"/>
      <c r="C7" s="47"/>
      <c r="D7" s="60"/>
      <c r="E7" s="48"/>
      <c r="F7" s="146"/>
      <c r="G7" s="146"/>
      <c r="H7" s="146"/>
      <c r="I7" s="146"/>
      <c r="J7" s="61"/>
      <c r="K7" s="61"/>
      <c r="L7" s="53"/>
      <c r="M7" s="48"/>
      <c r="N7" s="50"/>
      <c r="O7" s="49"/>
    </row>
    <row r="8" spans="2:15" x14ac:dyDescent="0.35">
      <c r="B8" s="43"/>
      <c r="C8" s="47"/>
      <c r="D8" s="60"/>
      <c r="E8" s="48"/>
      <c r="F8" s="146"/>
      <c r="G8" s="146"/>
      <c r="H8" s="146"/>
      <c r="I8" s="146"/>
      <c r="J8" s="62"/>
      <c r="K8" s="61"/>
      <c r="L8" s="53"/>
      <c r="M8" s="48"/>
      <c r="N8" s="50"/>
      <c r="O8" s="49"/>
    </row>
    <row r="9" spans="2:15" s="28" customFormat="1" ht="4.9000000000000004" customHeight="1" x14ac:dyDescent="0.35">
      <c r="N9" s="50"/>
    </row>
    <row r="10" spans="2:15" s="28" customFormat="1" ht="18" customHeight="1" thickBot="1" x14ac:dyDescent="0.4">
      <c r="N10" s="50"/>
    </row>
    <row r="11" spans="2:15" customFormat="1" ht="15" thickBot="1" x14ac:dyDescent="0.4">
      <c r="B11" s="54" t="s">
        <v>51</v>
      </c>
      <c r="C11" s="32"/>
      <c r="D11" s="32"/>
      <c r="E11" s="32"/>
      <c r="F11" s="32"/>
      <c r="G11" s="32"/>
      <c r="H11" s="32"/>
      <c r="I11" s="32"/>
      <c r="J11" s="33"/>
      <c r="K11" s="34"/>
      <c r="L11" s="34"/>
      <c r="M11" s="229">
        <f>SUM(M5:M8)</f>
        <v>3556.94</v>
      </c>
      <c r="N11" s="50"/>
    </row>
    <row r="12" spans="2:15" x14ac:dyDescent="0.35">
      <c r="B12" s="51"/>
      <c r="N12" s="50"/>
    </row>
    <row r="13" spans="2:15" ht="14.5" customHeight="1" x14ac:dyDescent="0.35">
      <c r="B13" s="126"/>
      <c r="C13" s="127"/>
      <c r="D13" s="50"/>
      <c r="E13" s="50"/>
      <c r="F13" s="128"/>
      <c r="G13" s="128"/>
      <c r="H13" s="128"/>
      <c r="I13" s="128"/>
      <c r="J13" s="129"/>
      <c r="K13" s="129"/>
      <c r="L13" s="50"/>
      <c r="M13" s="50"/>
      <c r="N13" s="50"/>
    </row>
    <row r="14" spans="2:15" x14ac:dyDescent="0.35">
      <c r="B14" s="126"/>
      <c r="C14" s="130"/>
      <c r="D14" s="50"/>
      <c r="E14" s="50"/>
      <c r="F14" s="128"/>
      <c r="G14" s="128"/>
      <c r="H14" s="128"/>
      <c r="I14" s="128"/>
      <c r="J14" s="129"/>
      <c r="K14" s="129"/>
      <c r="L14" s="50"/>
      <c r="M14" s="50"/>
    </row>
    <row r="15" spans="2:15" s="28" customFormat="1" ht="16.5" customHeight="1" x14ac:dyDescent="0.35">
      <c r="N15" s="50"/>
    </row>
    <row r="16" spans="2:15" x14ac:dyDescent="0.35">
      <c r="B16" s="51"/>
      <c r="C16" s="129"/>
      <c r="D16" s="129"/>
      <c r="E16" s="129"/>
      <c r="F16" s="129"/>
      <c r="G16" s="129"/>
      <c r="H16" s="129"/>
      <c r="I16" s="129"/>
      <c r="J16" s="129"/>
      <c r="K16" s="129"/>
      <c r="L16" s="127"/>
    </row>
    <row r="17" spans="2:14" s="28" customFormat="1" ht="23.25" customHeight="1" x14ac:dyDescent="0.35"/>
    <row r="18" spans="2:14" customFormat="1" x14ac:dyDescent="0.35">
      <c r="B18" s="131"/>
      <c r="J18" s="28"/>
      <c r="K18" s="1"/>
      <c r="L18" s="1"/>
      <c r="M18" s="132"/>
      <c r="N18" s="50"/>
    </row>
    <row r="19" spans="2:14" ht="14.65" customHeight="1" x14ac:dyDescent="0.35">
      <c r="B19" s="51"/>
      <c r="N19" s="50"/>
    </row>
    <row r="20" spans="2:14" x14ac:dyDescent="0.35">
      <c r="B20" s="51"/>
    </row>
    <row r="21" spans="2:14" x14ac:dyDescent="0.35">
      <c r="B21" s="51"/>
    </row>
    <row r="22" spans="2:14" x14ac:dyDescent="0.35">
      <c r="B22" s="51"/>
    </row>
    <row r="23" spans="2:14" x14ac:dyDescent="0.35">
      <c r="B23" s="51"/>
    </row>
    <row r="24" spans="2:14" x14ac:dyDescent="0.35">
      <c r="B24" s="51"/>
    </row>
    <row r="25" spans="2:14" x14ac:dyDescent="0.35">
      <c r="B25" s="51"/>
    </row>
    <row r="26" spans="2:14" x14ac:dyDescent="0.35">
      <c r="B26" s="51"/>
    </row>
    <row r="27" spans="2:14" x14ac:dyDescent="0.35">
      <c r="B27" s="51"/>
    </row>
    <row r="28" spans="2:14" x14ac:dyDescent="0.35">
      <c r="B28" s="51"/>
    </row>
    <row r="29" spans="2:14" x14ac:dyDescent="0.35">
      <c r="B29" s="51"/>
    </row>
    <row r="30" spans="2:14" x14ac:dyDescent="0.35">
      <c r="B30" s="51"/>
    </row>
    <row r="31" spans="2:14" x14ac:dyDescent="0.35">
      <c r="B31" s="51"/>
    </row>
    <row r="32" spans="2:14" x14ac:dyDescent="0.35">
      <c r="B32" s="51"/>
    </row>
    <row r="33" spans="2:2" x14ac:dyDescent="0.35">
      <c r="B33" s="51"/>
    </row>
    <row r="34" spans="2:2" x14ac:dyDescent="0.35">
      <c r="B34" s="51"/>
    </row>
    <row r="35" spans="2:2" x14ac:dyDescent="0.35">
      <c r="B35" s="51"/>
    </row>
    <row r="36" spans="2:2" x14ac:dyDescent="0.35">
      <c r="B36" s="51"/>
    </row>
    <row r="37" spans="2:2" x14ac:dyDescent="0.35">
      <c r="B37" s="51"/>
    </row>
    <row r="38" spans="2:2" x14ac:dyDescent="0.35">
      <c r="B38" s="51"/>
    </row>
    <row r="39" spans="2:2" x14ac:dyDescent="0.35">
      <c r="B39" s="51"/>
    </row>
    <row r="40" spans="2:2" x14ac:dyDescent="0.35">
      <c r="B40" s="51"/>
    </row>
    <row r="41" spans="2:2" x14ac:dyDescent="0.35">
      <c r="B41" s="51"/>
    </row>
    <row r="42" spans="2:2" x14ac:dyDescent="0.35">
      <c r="B42" s="51"/>
    </row>
    <row r="43" spans="2:2" x14ac:dyDescent="0.35">
      <c r="B43" s="51"/>
    </row>
    <row r="44" spans="2:2" x14ac:dyDescent="0.35">
      <c r="B44" s="51"/>
    </row>
    <row r="45" spans="2:2" x14ac:dyDescent="0.35">
      <c r="B45" s="51"/>
    </row>
    <row r="46" spans="2:2" x14ac:dyDescent="0.35">
      <c r="B46" s="51"/>
    </row>
    <row r="47" spans="2:2" x14ac:dyDescent="0.35">
      <c r="B47" s="51"/>
    </row>
    <row r="48" spans="2:2" x14ac:dyDescent="0.35">
      <c r="B48" s="51"/>
    </row>
    <row r="49" spans="2:2" x14ac:dyDescent="0.35">
      <c r="B49" s="51"/>
    </row>
    <row r="50" spans="2:2" x14ac:dyDescent="0.35">
      <c r="B50" s="51"/>
    </row>
    <row r="51" spans="2:2" x14ac:dyDescent="0.35">
      <c r="B51" s="51"/>
    </row>
    <row r="52" spans="2:2" x14ac:dyDescent="0.35">
      <c r="B52" s="51"/>
    </row>
    <row r="53" spans="2:2" x14ac:dyDescent="0.35">
      <c r="B53" s="51"/>
    </row>
    <row r="54" spans="2:2" x14ac:dyDescent="0.35">
      <c r="B54" s="51"/>
    </row>
    <row r="55" spans="2:2" x14ac:dyDescent="0.35">
      <c r="B55" s="51"/>
    </row>
    <row r="56" spans="2:2" x14ac:dyDescent="0.35">
      <c r="B56" s="51"/>
    </row>
    <row r="57" spans="2:2" x14ac:dyDescent="0.35">
      <c r="B57" s="51"/>
    </row>
    <row r="58" spans="2:2" x14ac:dyDescent="0.35">
      <c r="B58" s="51"/>
    </row>
    <row r="59" spans="2:2" x14ac:dyDescent="0.35">
      <c r="B59" s="51"/>
    </row>
    <row r="60" spans="2:2" x14ac:dyDescent="0.35">
      <c r="B60" s="51"/>
    </row>
    <row r="61" spans="2:2" x14ac:dyDescent="0.35">
      <c r="B61" s="51"/>
    </row>
    <row r="62" spans="2:2" x14ac:dyDescent="0.35">
      <c r="B62" s="51"/>
    </row>
    <row r="63" spans="2:2" x14ac:dyDescent="0.35">
      <c r="B63" s="51"/>
    </row>
    <row r="64" spans="2:2" x14ac:dyDescent="0.35">
      <c r="B64" s="51"/>
    </row>
    <row r="65" spans="2:2" x14ac:dyDescent="0.35">
      <c r="B65" s="51"/>
    </row>
    <row r="66" spans="2:2" x14ac:dyDescent="0.35">
      <c r="B66" s="51"/>
    </row>
    <row r="67" spans="2:2" x14ac:dyDescent="0.35">
      <c r="B67" s="51"/>
    </row>
    <row r="68" spans="2:2" x14ac:dyDescent="0.35">
      <c r="B68" s="51"/>
    </row>
    <row r="69" spans="2:2" x14ac:dyDescent="0.35">
      <c r="B69" s="51"/>
    </row>
    <row r="70" spans="2:2" x14ac:dyDescent="0.35">
      <c r="B70" s="51"/>
    </row>
    <row r="71" spans="2:2" x14ac:dyDescent="0.35">
      <c r="B71" s="51"/>
    </row>
    <row r="72" spans="2:2" x14ac:dyDescent="0.35">
      <c r="B72" s="51"/>
    </row>
    <row r="73" spans="2:2" x14ac:dyDescent="0.35">
      <c r="B73" s="51"/>
    </row>
    <row r="74" spans="2:2" x14ac:dyDescent="0.35">
      <c r="B74" s="51"/>
    </row>
    <row r="75" spans="2:2" x14ac:dyDescent="0.35">
      <c r="B75" s="51"/>
    </row>
    <row r="76" spans="2:2" x14ac:dyDescent="0.35">
      <c r="B76" s="51"/>
    </row>
    <row r="77" spans="2:2" x14ac:dyDescent="0.35">
      <c r="B77" s="51"/>
    </row>
    <row r="78" spans="2:2" x14ac:dyDescent="0.35">
      <c r="B78" s="51"/>
    </row>
    <row r="79" spans="2:2" x14ac:dyDescent="0.35">
      <c r="B79" s="51"/>
    </row>
    <row r="80" spans="2:2" x14ac:dyDescent="0.35">
      <c r="B80" s="51"/>
    </row>
    <row r="81" spans="2:2" x14ac:dyDescent="0.35">
      <c r="B81" s="51"/>
    </row>
    <row r="82" spans="2:2" x14ac:dyDescent="0.35">
      <c r="B82" s="51"/>
    </row>
    <row r="83" spans="2:2" x14ac:dyDescent="0.35">
      <c r="B83" s="51"/>
    </row>
    <row r="84" spans="2:2" x14ac:dyDescent="0.35">
      <c r="B84" s="51"/>
    </row>
    <row r="85" spans="2:2" x14ac:dyDescent="0.35">
      <c r="B85" s="51"/>
    </row>
    <row r="86" spans="2:2" x14ac:dyDescent="0.35">
      <c r="B86" s="51"/>
    </row>
    <row r="87" spans="2:2" x14ac:dyDescent="0.35">
      <c r="B87" s="51"/>
    </row>
    <row r="88" spans="2:2" x14ac:dyDescent="0.35">
      <c r="B88" s="51"/>
    </row>
    <row r="89" spans="2:2" x14ac:dyDescent="0.35">
      <c r="B89" s="51"/>
    </row>
    <row r="90" spans="2:2" x14ac:dyDescent="0.35">
      <c r="B90" s="51"/>
    </row>
    <row r="91" spans="2:2" x14ac:dyDescent="0.35">
      <c r="B91" s="51"/>
    </row>
    <row r="92" spans="2:2" x14ac:dyDescent="0.35">
      <c r="B92" s="51"/>
    </row>
    <row r="93" spans="2:2" x14ac:dyDescent="0.35">
      <c r="B93" s="51"/>
    </row>
    <row r="94" spans="2:2" x14ac:dyDescent="0.35">
      <c r="B94" s="51"/>
    </row>
    <row r="95" spans="2:2" x14ac:dyDescent="0.35">
      <c r="B95" s="51"/>
    </row>
    <row r="96" spans="2:2" x14ac:dyDescent="0.35">
      <c r="B96" s="51"/>
    </row>
    <row r="97" spans="2:2" x14ac:dyDescent="0.35">
      <c r="B97" s="51"/>
    </row>
    <row r="98" spans="2:2" x14ac:dyDescent="0.35">
      <c r="B98" s="51"/>
    </row>
    <row r="99" spans="2:2" x14ac:dyDescent="0.35">
      <c r="B99" s="51"/>
    </row>
    <row r="100" spans="2:2" x14ac:dyDescent="0.35">
      <c r="B100" s="51"/>
    </row>
    <row r="101" spans="2:2" x14ac:dyDescent="0.35">
      <c r="B101" s="51"/>
    </row>
    <row r="102" spans="2:2" x14ac:dyDescent="0.35">
      <c r="B102" s="51"/>
    </row>
    <row r="103" spans="2:2" x14ac:dyDescent="0.35">
      <c r="B103" s="51"/>
    </row>
    <row r="104" spans="2:2" x14ac:dyDescent="0.35">
      <c r="B104" s="51"/>
    </row>
    <row r="105" spans="2:2" x14ac:dyDescent="0.35">
      <c r="B105" s="51"/>
    </row>
    <row r="106" spans="2:2" x14ac:dyDescent="0.35">
      <c r="B106" s="51"/>
    </row>
    <row r="107" spans="2:2" x14ac:dyDescent="0.35">
      <c r="B107" s="51"/>
    </row>
    <row r="108" spans="2:2" x14ac:dyDescent="0.35">
      <c r="B108" s="51"/>
    </row>
    <row r="109" spans="2:2" x14ac:dyDescent="0.35">
      <c r="B109" s="51"/>
    </row>
    <row r="110" spans="2:2" x14ac:dyDescent="0.35">
      <c r="B110" s="51"/>
    </row>
    <row r="111" spans="2:2" x14ac:dyDescent="0.35">
      <c r="B111" s="51"/>
    </row>
    <row r="112" spans="2:2" x14ac:dyDescent="0.35">
      <c r="B112" s="51"/>
    </row>
    <row r="113" spans="2:2" x14ac:dyDescent="0.35">
      <c r="B113" s="51"/>
    </row>
    <row r="114" spans="2:2" x14ac:dyDescent="0.35">
      <c r="B114" s="51"/>
    </row>
    <row r="115" spans="2:2" x14ac:dyDescent="0.35">
      <c r="B115" s="51"/>
    </row>
    <row r="116" spans="2:2" x14ac:dyDescent="0.35">
      <c r="B116" s="51"/>
    </row>
    <row r="117" spans="2:2" x14ac:dyDescent="0.35">
      <c r="B117" s="51"/>
    </row>
    <row r="118" spans="2:2" x14ac:dyDescent="0.35">
      <c r="B118" s="51"/>
    </row>
    <row r="119" spans="2:2" x14ac:dyDescent="0.35">
      <c r="B119" s="51"/>
    </row>
    <row r="120" spans="2:2" x14ac:dyDescent="0.35">
      <c r="B120" s="51"/>
    </row>
    <row r="121" spans="2:2" x14ac:dyDescent="0.35">
      <c r="B121" s="51"/>
    </row>
    <row r="122" spans="2:2" x14ac:dyDescent="0.35">
      <c r="B122" s="51"/>
    </row>
    <row r="123" spans="2:2" x14ac:dyDescent="0.35">
      <c r="B123" s="51"/>
    </row>
    <row r="124" spans="2:2" x14ac:dyDescent="0.35">
      <c r="B124" s="51"/>
    </row>
    <row r="125" spans="2:2" x14ac:dyDescent="0.35">
      <c r="B125" s="51"/>
    </row>
    <row r="126" spans="2:2" x14ac:dyDescent="0.35">
      <c r="B126" s="51"/>
    </row>
    <row r="127" spans="2:2" x14ac:dyDescent="0.35">
      <c r="B127" s="51"/>
    </row>
    <row r="128" spans="2:2" x14ac:dyDescent="0.35">
      <c r="B128" s="51"/>
    </row>
    <row r="129" spans="2:2" x14ac:dyDescent="0.35">
      <c r="B129" s="51"/>
    </row>
    <row r="130" spans="2:2" x14ac:dyDescent="0.35">
      <c r="B130" s="51"/>
    </row>
    <row r="131" spans="2:2" x14ac:dyDescent="0.35">
      <c r="B131" s="51"/>
    </row>
    <row r="132" spans="2:2" x14ac:dyDescent="0.35">
      <c r="B132" s="51"/>
    </row>
    <row r="133" spans="2:2" x14ac:dyDescent="0.35">
      <c r="B133" s="51"/>
    </row>
    <row r="134" spans="2:2" x14ac:dyDescent="0.35">
      <c r="B134" s="51"/>
    </row>
    <row r="135" spans="2:2" x14ac:dyDescent="0.35">
      <c r="B135" s="51"/>
    </row>
    <row r="136" spans="2:2" x14ac:dyDescent="0.35">
      <c r="B136" s="51"/>
    </row>
    <row r="137" spans="2:2" x14ac:dyDescent="0.35">
      <c r="B137" s="51"/>
    </row>
    <row r="138" spans="2:2" x14ac:dyDescent="0.35">
      <c r="B138" s="51"/>
    </row>
    <row r="139" spans="2:2" x14ac:dyDescent="0.35">
      <c r="B139" s="51"/>
    </row>
    <row r="140" spans="2:2" x14ac:dyDescent="0.35">
      <c r="B140" s="51"/>
    </row>
    <row r="141" spans="2:2" x14ac:dyDescent="0.35">
      <c r="B141" s="51"/>
    </row>
    <row r="142" spans="2:2" x14ac:dyDescent="0.35">
      <c r="B142" s="51"/>
    </row>
    <row r="143" spans="2:2" x14ac:dyDescent="0.35">
      <c r="B143" s="51"/>
    </row>
    <row r="144" spans="2:2" x14ac:dyDescent="0.35">
      <c r="B144" s="51"/>
    </row>
    <row r="145" spans="2:2" x14ac:dyDescent="0.35">
      <c r="B145" s="51"/>
    </row>
    <row r="146" spans="2:2" x14ac:dyDescent="0.35">
      <c r="B146" s="51"/>
    </row>
    <row r="147" spans="2:2" x14ac:dyDescent="0.35">
      <c r="B147" s="51"/>
    </row>
    <row r="148" spans="2:2" x14ac:dyDescent="0.35">
      <c r="B148" s="51"/>
    </row>
    <row r="149" spans="2:2" x14ac:dyDescent="0.35">
      <c r="B149" s="51"/>
    </row>
    <row r="150" spans="2:2" x14ac:dyDescent="0.35">
      <c r="B150" s="51"/>
    </row>
    <row r="151" spans="2:2" x14ac:dyDescent="0.35">
      <c r="B151" s="51"/>
    </row>
    <row r="152" spans="2:2" x14ac:dyDescent="0.35">
      <c r="B152" s="51"/>
    </row>
    <row r="153" spans="2:2" x14ac:dyDescent="0.35">
      <c r="B153" s="51"/>
    </row>
    <row r="154" spans="2:2" x14ac:dyDescent="0.35">
      <c r="B154" s="51"/>
    </row>
    <row r="155" spans="2:2" x14ac:dyDescent="0.35">
      <c r="B155" s="51"/>
    </row>
    <row r="156" spans="2:2" x14ac:dyDescent="0.35">
      <c r="B156" s="51"/>
    </row>
    <row r="157" spans="2:2" x14ac:dyDescent="0.35">
      <c r="B157" s="51"/>
    </row>
    <row r="158" spans="2:2" x14ac:dyDescent="0.35">
      <c r="B158" s="51"/>
    </row>
    <row r="159" spans="2:2" x14ac:dyDescent="0.35">
      <c r="B159" s="51"/>
    </row>
    <row r="160" spans="2:2" x14ac:dyDescent="0.35">
      <c r="B160" s="51"/>
    </row>
    <row r="161" spans="2:2" x14ac:dyDescent="0.35">
      <c r="B161" s="51"/>
    </row>
    <row r="162" spans="2:2" x14ac:dyDescent="0.35">
      <c r="B162" s="51"/>
    </row>
    <row r="163" spans="2:2" x14ac:dyDescent="0.35">
      <c r="B163" s="51"/>
    </row>
    <row r="164" spans="2:2" x14ac:dyDescent="0.35">
      <c r="B164" s="51"/>
    </row>
    <row r="165" spans="2:2" x14ac:dyDescent="0.35">
      <c r="B165" s="51"/>
    </row>
    <row r="166" spans="2:2" x14ac:dyDescent="0.35">
      <c r="B166" s="51"/>
    </row>
    <row r="167" spans="2:2" x14ac:dyDescent="0.35">
      <c r="B167" s="51"/>
    </row>
    <row r="168" spans="2:2" x14ac:dyDescent="0.35">
      <c r="B168" s="51"/>
    </row>
    <row r="169" spans="2:2" x14ac:dyDescent="0.35">
      <c r="B169" s="51"/>
    </row>
    <row r="170" spans="2:2" x14ac:dyDescent="0.35">
      <c r="B170" s="51"/>
    </row>
    <row r="171" spans="2:2" x14ac:dyDescent="0.35">
      <c r="B171" s="51"/>
    </row>
    <row r="172" spans="2:2" x14ac:dyDescent="0.35">
      <c r="B172" s="51"/>
    </row>
    <row r="173" spans="2:2" x14ac:dyDescent="0.35">
      <c r="B173" s="51"/>
    </row>
    <row r="174" spans="2:2" x14ac:dyDescent="0.35">
      <c r="B174" s="51"/>
    </row>
    <row r="175" spans="2:2" x14ac:dyDescent="0.35">
      <c r="B175" s="51"/>
    </row>
    <row r="176" spans="2:2" x14ac:dyDescent="0.35">
      <c r="B176" s="51"/>
    </row>
    <row r="177" spans="2:2" x14ac:dyDescent="0.35">
      <c r="B177" s="51"/>
    </row>
    <row r="178" spans="2:2" x14ac:dyDescent="0.35">
      <c r="B178" s="51"/>
    </row>
    <row r="179" spans="2:2" x14ac:dyDescent="0.35">
      <c r="B179" s="51"/>
    </row>
    <row r="180" spans="2:2" x14ac:dyDescent="0.35">
      <c r="B180" s="51"/>
    </row>
    <row r="181" spans="2:2" x14ac:dyDescent="0.35">
      <c r="B181" s="51"/>
    </row>
    <row r="182" spans="2:2" x14ac:dyDescent="0.35">
      <c r="B182" s="51"/>
    </row>
    <row r="183" spans="2:2" x14ac:dyDescent="0.35">
      <c r="B183" s="51"/>
    </row>
    <row r="184" spans="2:2" x14ac:dyDescent="0.35">
      <c r="B184" s="51"/>
    </row>
    <row r="185" spans="2:2" x14ac:dyDescent="0.35">
      <c r="B185" s="51"/>
    </row>
    <row r="186" spans="2:2" x14ac:dyDescent="0.35">
      <c r="B186" s="51"/>
    </row>
    <row r="187" spans="2:2" x14ac:dyDescent="0.35">
      <c r="B187" s="51"/>
    </row>
    <row r="188" spans="2:2" x14ac:dyDescent="0.35">
      <c r="B188" s="51"/>
    </row>
    <row r="189" spans="2:2" x14ac:dyDescent="0.35">
      <c r="B189" s="51"/>
    </row>
    <row r="190" spans="2:2" x14ac:dyDescent="0.35">
      <c r="B190" s="51"/>
    </row>
    <row r="191" spans="2:2" x14ac:dyDescent="0.35">
      <c r="B191" s="51"/>
    </row>
    <row r="192" spans="2:2" x14ac:dyDescent="0.35">
      <c r="B192" s="51"/>
    </row>
    <row r="193" spans="2:2" x14ac:dyDescent="0.35">
      <c r="B193" s="51"/>
    </row>
    <row r="194" spans="2:2" x14ac:dyDescent="0.35">
      <c r="B194" s="51"/>
    </row>
    <row r="195" spans="2:2" x14ac:dyDescent="0.35">
      <c r="B195" s="51"/>
    </row>
    <row r="196" spans="2:2" x14ac:dyDescent="0.35">
      <c r="B196" s="51"/>
    </row>
  </sheetData>
  <mergeCells count="1">
    <mergeCell ref="B2:M2"/>
  </mergeCell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CA185"/>
  <sheetViews>
    <sheetView topLeftCell="A9" zoomScale="85" zoomScaleNormal="85" workbookViewId="0">
      <selection activeCell="I36" sqref="I36"/>
    </sheetView>
  </sheetViews>
  <sheetFormatPr defaultColWidth="8.81640625" defaultRowHeight="14.5" x14ac:dyDescent="0.35"/>
  <cols>
    <col min="1" max="1" width="5" customWidth="1"/>
    <col min="2" max="2" width="28.26953125" style="1" customWidth="1"/>
    <col min="3" max="3" width="15" customWidth="1"/>
    <col min="4" max="4" width="20" style="28" customWidth="1"/>
    <col min="5" max="5" width="6.7265625" style="1" bestFit="1" customWidth="1"/>
    <col min="6" max="6" width="8.81640625" style="1" customWidth="1"/>
    <col min="7" max="7" width="22.453125" style="1" customWidth="1"/>
    <col min="8" max="9" width="20" style="28" customWidth="1"/>
    <col min="10" max="10" width="13.54296875" style="1" customWidth="1"/>
    <col min="11" max="11" width="15.1796875" style="1" customWidth="1"/>
    <col min="13" max="13" width="13.81640625" customWidth="1"/>
    <col min="14" max="14" width="12.7265625" customWidth="1"/>
  </cols>
  <sheetData>
    <row r="1" spans="2:79" ht="15" thickBot="1" x14ac:dyDescent="0.4"/>
    <row r="2" spans="2:79" ht="23" thickBot="1" x14ac:dyDescent="0.4">
      <c r="B2" s="253" t="s">
        <v>160</v>
      </c>
    </row>
    <row r="3" spans="2:79" x14ac:dyDescent="0.35">
      <c r="B3"/>
    </row>
    <row r="4" spans="2:79" ht="23.5" x14ac:dyDescent="0.55000000000000004">
      <c r="B4" s="149" t="s">
        <v>368</v>
      </c>
      <c r="C4" s="150"/>
      <c r="D4" s="150"/>
      <c r="E4" s="150"/>
      <c r="F4" s="150"/>
      <c r="G4" s="150"/>
      <c r="H4" s="150"/>
      <c r="I4" s="150"/>
      <c r="J4" s="150"/>
      <c r="K4" s="232"/>
    </row>
    <row r="5" spans="2:79" ht="87.75" customHeight="1" x14ac:dyDescent="0.35">
      <c r="B5" s="2" t="s">
        <v>0</v>
      </c>
      <c r="C5" s="3" t="s">
        <v>109</v>
      </c>
      <c r="D5" s="3" t="s">
        <v>8</v>
      </c>
      <c r="E5" s="26" t="s">
        <v>49</v>
      </c>
      <c r="F5" s="3" t="s">
        <v>10</v>
      </c>
      <c r="G5" s="3" t="s">
        <v>116</v>
      </c>
      <c r="H5" s="3" t="s">
        <v>112</v>
      </c>
      <c r="I5" s="3" t="s">
        <v>161</v>
      </c>
      <c r="J5" s="3"/>
      <c r="K5" s="3" t="s">
        <v>370</v>
      </c>
      <c r="M5" s="231"/>
    </row>
    <row r="6" spans="2:79" x14ac:dyDescent="0.35">
      <c r="B6" s="27"/>
      <c r="C6" s="151"/>
      <c r="D6" s="151"/>
      <c r="E6" s="6"/>
      <c r="F6" s="6"/>
      <c r="G6" s="152"/>
      <c r="H6" s="151"/>
      <c r="I6" s="151"/>
      <c r="J6" s="7"/>
      <c r="K6" s="7"/>
    </row>
    <row r="7" spans="2:79" x14ac:dyDescent="0.35">
      <c r="B7" s="27" t="s">
        <v>107</v>
      </c>
      <c r="C7" s="222">
        <v>129.03</v>
      </c>
      <c r="D7" s="159"/>
      <c r="E7" s="160">
        <v>1</v>
      </c>
      <c r="F7" s="219">
        <f>C7+D7*E7</f>
        <v>129.03</v>
      </c>
      <c r="G7" s="219"/>
      <c r="H7" s="295">
        <v>150.6</v>
      </c>
      <c r="I7" s="295">
        <v>113.43</v>
      </c>
      <c r="J7" s="293"/>
      <c r="K7" s="297">
        <f>(F7+G7)</f>
        <v>129.03</v>
      </c>
    </row>
    <row r="8" spans="2:79" ht="15" thickBot="1" x14ac:dyDescent="0.4">
      <c r="B8" s="27" t="s">
        <v>143</v>
      </c>
      <c r="C8" s="222">
        <f>C7</f>
        <v>129.03</v>
      </c>
      <c r="D8" s="159"/>
      <c r="E8" s="160">
        <v>4</v>
      </c>
      <c r="F8" s="219">
        <f>(C8+D8)*E8</f>
        <v>516.12</v>
      </c>
      <c r="G8" s="219">
        <f>42.01*E8</f>
        <v>168.04</v>
      </c>
      <c r="H8" s="295">
        <v>0</v>
      </c>
      <c r="I8" s="295">
        <v>0</v>
      </c>
      <c r="J8" s="293"/>
      <c r="K8" s="298">
        <f t="shared" ref="K8" si="0">(F8+G8)-J8</f>
        <v>684.16</v>
      </c>
    </row>
    <row r="9" spans="2:79" s="28" customFormat="1" ht="24" customHeight="1" thickBot="1" x14ac:dyDescent="0.4">
      <c r="K9" s="299">
        <f>SUM(K7:K8)</f>
        <v>813.18999999999994</v>
      </c>
      <c r="N9" s="215"/>
    </row>
    <row r="10" spans="2:79" s="28" customFormat="1" ht="15" thickBot="1" x14ac:dyDescent="0.4">
      <c r="B10" s="35" t="s">
        <v>108</v>
      </c>
      <c r="C10" s="36">
        <f>C7+(C8*E8)</f>
        <v>645.15</v>
      </c>
      <c r="D10" s="37"/>
      <c r="E10" s="38"/>
      <c r="F10" s="39">
        <f>SUM(F7:F9)</f>
        <v>645.15</v>
      </c>
      <c r="G10" s="171">
        <f>SUM(G7:G9)</f>
        <v>168.04</v>
      </c>
      <c r="H10" s="37"/>
      <c r="I10" s="216"/>
      <c r="J10" s="1"/>
      <c r="K10" s="1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</row>
    <row r="11" spans="2:79" s="28" customFormat="1" ht="14.5" customHeight="1" thickBot="1" x14ac:dyDescent="0.4">
      <c r="L11" s="215"/>
    </row>
    <row r="12" spans="2:79" ht="15" hidden="1" thickBot="1" x14ac:dyDescent="0.4">
      <c r="B12" s="31" t="s">
        <v>371</v>
      </c>
      <c r="C12" s="32"/>
      <c r="D12" s="33"/>
      <c r="E12" s="442">
        <f>SUM(RERA!K5:K14)</f>
        <v>862.77</v>
      </c>
      <c r="F12" s="443"/>
      <c r="G12" s="34"/>
      <c r="H12" s="33"/>
      <c r="I12" s="217"/>
      <c r="J12"/>
      <c r="K12"/>
      <c r="L12" s="211"/>
    </row>
    <row r="13" spans="2:79" s="28" customFormat="1" x14ac:dyDescent="0.35">
      <c r="B13" s="157" t="s">
        <v>110</v>
      </c>
    </row>
    <row r="14" spans="2:79" x14ac:dyDescent="0.35">
      <c r="B14" s="27" t="s">
        <v>120</v>
      </c>
      <c r="C14" s="300">
        <v>38.47</v>
      </c>
    </row>
    <row r="15" spans="2:79" s="28" customFormat="1" x14ac:dyDescent="0.35">
      <c r="B15" s="148" t="s">
        <v>111</v>
      </c>
      <c r="C15" s="300">
        <v>19.48</v>
      </c>
      <c r="D15" s="30"/>
      <c r="E15" s="30"/>
      <c r="F15" s="30"/>
      <c r="G15" s="30"/>
      <c r="H15" s="30"/>
      <c r="I15" s="30"/>
      <c r="J15" s="1"/>
      <c r="K15" s="1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2:79" s="28" customFormat="1" ht="15" thickBot="1" x14ac:dyDescent="0.4">
      <c r="B16" s="148" t="s">
        <v>373</v>
      </c>
      <c r="C16" s="309">
        <v>10.119999999999999</v>
      </c>
      <c r="D16" s="30"/>
      <c r="E16" s="30"/>
      <c r="F16" s="30"/>
      <c r="G16" s="30"/>
      <c r="H16" s="30"/>
      <c r="I16" s="30"/>
      <c r="J16" s="1"/>
      <c r="K16" s="1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2:79" s="28" customFormat="1" ht="28.5" customHeight="1" thickBot="1" x14ac:dyDescent="0.4">
      <c r="B17" s="29"/>
      <c r="C17" s="310">
        <f>SUM(C14:C16)</f>
        <v>68.070000000000007</v>
      </c>
      <c r="E17" s="1"/>
      <c r="F17" s="30"/>
      <c r="G17" s="1"/>
      <c r="J17" s="30"/>
      <c r="K17" s="1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2:79" s="28" customFormat="1" x14ac:dyDescent="0.35">
      <c r="B18" s="29"/>
      <c r="C18"/>
      <c r="E18" s="30"/>
      <c r="F18" s="1"/>
      <c r="G18" s="1"/>
      <c r="J18" s="1"/>
      <c r="K18" s="1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2:79" x14ac:dyDescent="0.35">
      <c r="B19" s="29"/>
    </row>
    <row r="20" spans="2:79" x14ac:dyDescent="0.35">
      <c r="B20" s="29"/>
    </row>
    <row r="21" spans="2:79" x14ac:dyDescent="0.35">
      <c r="B21" s="29"/>
      <c r="M21">
        <f>14400+70+90+90</f>
        <v>14650</v>
      </c>
    </row>
    <row r="22" spans="2:79" x14ac:dyDescent="0.35">
      <c r="B22" s="29"/>
    </row>
    <row r="23" spans="2:79" ht="23.5" x14ac:dyDescent="0.55000000000000004">
      <c r="B23" s="149" t="s">
        <v>369</v>
      </c>
      <c r="C23" s="150"/>
      <c r="D23" s="150"/>
      <c r="E23" s="150"/>
      <c r="F23" s="150"/>
      <c r="G23" s="150"/>
      <c r="H23" s="150"/>
      <c r="I23" s="150"/>
      <c r="J23" s="150"/>
      <c r="K23" s="232"/>
    </row>
    <row r="24" spans="2:79" ht="72.5" x14ac:dyDescent="0.35">
      <c r="B24" s="2" t="s">
        <v>0</v>
      </c>
      <c r="C24" s="3" t="s">
        <v>109</v>
      </c>
      <c r="D24" s="3" t="s">
        <v>8</v>
      </c>
      <c r="E24" s="26" t="s">
        <v>49</v>
      </c>
      <c r="F24" s="3" t="s">
        <v>10</v>
      </c>
      <c r="G24" s="3" t="s">
        <v>116</v>
      </c>
      <c r="H24" s="3" t="s">
        <v>112</v>
      </c>
      <c r="I24" s="3" t="s">
        <v>162</v>
      </c>
      <c r="J24" s="3"/>
      <c r="K24" s="3" t="s">
        <v>119</v>
      </c>
    </row>
    <row r="25" spans="2:79" x14ac:dyDescent="0.35">
      <c r="B25" s="27"/>
      <c r="C25" s="151"/>
      <c r="D25" s="151"/>
      <c r="E25" s="6"/>
      <c r="F25" s="6"/>
      <c r="G25" s="152"/>
      <c r="H25" s="151"/>
      <c r="I25" s="151"/>
      <c r="J25" s="7"/>
      <c r="K25" s="7"/>
    </row>
    <row r="26" spans="2:79" x14ac:dyDescent="0.35">
      <c r="B26" s="27" t="s">
        <v>107</v>
      </c>
      <c r="C26" s="222">
        <f>219.15+0.92</f>
        <v>220.07</v>
      </c>
      <c r="D26" s="159"/>
      <c r="E26" s="160">
        <v>1</v>
      </c>
      <c r="F26" s="219">
        <f>C26+D26*E26</f>
        <v>220.07</v>
      </c>
      <c r="G26" s="219"/>
      <c r="H26" s="295">
        <v>87.78</v>
      </c>
      <c r="I26" s="295">
        <v>191.07</v>
      </c>
      <c r="J26" s="293"/>
      <c r="K26" s="297">
        <f>(F26+G26)-J26</f>
        <v>220.07</v>
      </c>
    </row>
    <row r="27" spans="2:79" ht="15" thickBot="1" x14ac:dyDescent="0.4">
      <c r="B27" s="27" t="s">
        <v>143</v>
      </c>
      <c r="C27" s="222">
        <f>C26</f>
        <v>220.07</v>
      </c>
      <c r="D27" s="159"/>
      <c r="E27" s="160">
        <v>4</v>
      </c>
      <c r="F27" s="219">
        <f>(C27+D27)*E27</f>
        <v>880.28</v>
      </c>
      <c r="G27" s="219">
        <f>78*E27</f>
        <v>312</v>
      </c>
      <c r="H27" s="295">
        <v>0</v>
      </c>
      <c r="I27" s="295">
        <v>0</v>
      </c>
      <c r="J27" s="293"/>
      <c r="K27" s="298">
        <f>(F27+G27)-J27</f>
        <v>1192.28</v>
      </c>
    </row>
    <row r="28" spans="2:79" ht="21.5" customHeight="1" thickBot="1" x14ac:dyDescent="0.4">
      <c r="B28" s="28"/>
      <c r="C28" s="28"/>
      <c r="E28" s="28"/>
      <c r="F28" s="28"/>
      <c r="G28" s="28"/>
      <c r="J28" s="28"/>
      <c r="K28" s="299">
        <f>SUM(K26:K27)</f>
        <v>1412.35</v>
      </c>
    </row>
    <row r="29" spans="2:79" ht="15" thickBot="1" x14ac:dyDescent="0.4">
      <c r="B29" s="35" t="s">
        <v>108</v>
      </c>
      <c r="C29" s="36">
        <f>C26+(C27*E27)</f>
        <v>1100.3499999999999</v>
      </c>
      <c r="D29" s="37"/>
      <c r="E29" s="38"/>
      <c r="F29" s="39">
        <f>SUM(F26:F28)</f>
        <v>1100.3499999999999</v>
      </c>
      <c r="G29" s="171">
        <f>SUM(G26:G28)</f>
        <v>312</v>
      </c>
      <c r="H29" s="37"/>
      <c r="I29" s="216"/>
    </row>
    <row r="30" spans="2:79" ht="15" thickBot="1" x14ac:dyDescent="0.4">
      <c r="B30" s="28"/>
      <c r="C30" s="28"/>
      <c r="E30" s="28"/>
      <c r="F30" s="28"/>
      <c r="G30" s="28"/>
      <c r="J30" s="28"/>
      <c r="K30" s="28"/>
    </row>
    <row r="31" spans="2:79" ht="15" hidden="1" thickBot="1" x14ac:dyDescent="0.4">
      <c r="B31" s="31" t="s">
        <v>371</v>
      </c>
      <c r="C31" s="32"/>
      <c r="D31" s="33"/>
      <c r="E31" s="444">
        <f>SUM(RERA!K57:K73)</f>
        <v>1573.4450000000004</v>
      </c>
      <c r="F31" s="445"/>
      <c r="G31" s="34"/>
      <c r="H31" s="33"/>
      <c r="I31" s="217"/>
      <c r="J31"/>
      <c r="K31"/>
    </row>
    <row r="32" spans="2:79" x14ac:dyDescent="0.35">
      <c r="B32" s="157" t="s">
        <v>110</v>
      </c>
      <c r="C32" s="28"/>
      <c r="E32" s="28"/>
      <c r="F32" s="28"/>
      <c r="G32" s="28"/>
      <c r="J32" s="28"/>
      <c r="K32" s="28"/>
    </row>
    <row r="33" spans="2:10" x14ac:dyDescent="0.35">
      <c r="B33" s="27" t="s">
        <v>120</v>
      </c>
      <c r="C33" s="300">
        <v>56.8</v>
      </c>
    </row>
    <row r="34" spans="2:10" x14ac:dyDescent="0.35">
      <c r="B34" s="148" t="s">
        <v>111</v>
      </c>
      <c r="C34" s="300">
        <v>24.7</v>
      </c>
      <c r="D34" s="30"/>
      <c r="E34" s="30"/>
      <c r="F34" s="30"/>
      <c r="G34" s="30"/>
      <c r="H34" s="30"/>
      <c r="I34" s="30"/>
    </row>
    <row r="35" spans="2:10" ht="15" thickBot="1" x14ac:dyDescent="0.4">
      <c r="B35" s="148" t="s">
        <v>373</v>
      </c>
      <c r="C35" s="309">
        <v>10.119999999999999</v>
      </c>
      <c r="D35" s="30"/>
      <c r="E35" s="30"/>
      <c r="F35" s="30"/>
      <c r="G35" s="30"/>
      <c r="H35" s="30"/>
      <c r="I35" s="30"/>
    </row>
    <row r="36" spans="2:10" ht="28" customHeight="1" thickBot="1" x14ac:dyDescent="0.4">
      <c r="B36" s="29"/>
      <c r="C36" s="310">
        <f>SUM(C33:C35)</f>
        <v>91.62</v>
      </c>
      <c r="F36" s="30"/>
      <c r="J36" s="30"/>
    </row>
    <row r="37" spans="2:10" x14ac:dyDescent="0.35">
      <c r="B37" s="29"/>
    </row>
    <row r="38" spans="2:10" x14ac:dyDescent="0.35">
      <c r="B38" s="29"/>
    </row>
    <row r="39" spans="2:10" x14ac:dyDescent="0.35">
      <c r="B39" s="29"/>
    </row>
    <row r="40" spans="2:10" x14ac:dyDescent="0.35">
      <c r="B40" s="29"/>
    </row>
    <row r="41" spans="2:10" x14ac:dyDescent="0.35">
      <c r="B41" s="29"/>
    </row>
    <row r="42" spans="2:10" x14ac:dyDescent="0.35">
      <c r="B42" s="29"/>
    </row>
    <row r="43" spans="2:10" x14ac:dyDescent="0.35">
      <c r="B43" s="29"/>
    </row>
    <row r="44" spans="2:10" x14ac:dyDescent="0.35">
      <c r="B44" s="29"/>
    </row>
    <row r="45" spans="2:10" x14ac:dyDescent="0.35">
      <c r="B45" s="29"/>
    </row>
    <row r="46" spans="2:10" x14ac:dyDescent="0.35">
      <c r="B46" s="29"/>
    </row>
    <row r="47" spans="2:10" x14ac:dyDescent="0.35">
      <c r="B47" s="29"/>
    </row>
    <row r="48" spans="2:10" x14ac:dyDescent="0.35">
      <c r="B48" s="29"/>
    </row>
    <row r="49" spans="2:2" x14ac:dyDescent="0.35">
      <c r="B49" s="29"/>
    </row>
    <row r="50" spans="2:2" x14ac:dyDescent="0.35">
      <c r="B50" s="29"/>
    </row>
    <row r="51" spans="2:2" x14ac:dyDescent="0.35">
      <c r="B51" s="29"/>
    </row>
    <row r="52" spans="2:2" x14ac:dyDescent="0.35">
      <c r="B52" s="29"/>
    </row>
    <row r="53" spans="2:2" x14ac:dyDescent="0.35">
      <c r="B53" s="29"/>
    </row>
    <row r="54" spans="2:2" x14ac:dyDescent="0.35">
      <c r="B54" s="29"/>
    </row>
    <row r="55" spans="2:2" x14ac:dyDescent="0.35">
      <c r="B55" s="29"/>
    </row>
    <row r="56" spans="2:2" x14ac:dyDescent="0.35">
      <c r="B56" s="29"/>
    </row>
    <row r="57" spans="2:2" x14ac:dyDescent="0.35">
      <c r="B57" s="29"/>
    </row>
    <row r="58" spans="2:2" x14ac:dyDescent="0.35">
      <c r="B58" s="29"/>
    </row>
    <row r="59" spans="2:2" x14ac:dyDescent="0.35">
      <c r="B59" s="29"/>
    </row>
    <row r="60" spans="2:2" x14ac:dyDescent="0.35">
      <c r="B60" s="29"/>
    </row>
    <row r="61" spans="2:2" x14ac:dyDescent="0.35">
      <c r="B61" s="29"/>
    </row>
    <row r="62" spans="2:2" x14ac:dyDescent="0.35">
      <c r="B62" s="29"/>
    </row>
    <row r="63" spans="2:2" x14ac:dyDescent="0.35">
      <c r="B63" s="29"/>
    </row>
    <row r="64" spans="2:2" x14ac:dyDescent="0.35">
      <c r="B64" s="29"/>
    </row>
    <row r="65" spans="2:2" x14ac:dyDescent="0.35">
      <c r="B65" s="29"/>
    </row>
    <row r="66" spans="2:2" x14ac:dyDescent="0.35">
      <c r="B66" s="29"/>
    </row>
    <row r="67" spans="2:2" x14ac:dyDescent="0.35">
      <c r="B67" s="29"/>
    </row>
    <row r="68" spans="2:2" x14ac:dyDescent="0.35">
      <c r="B68" s="29"/>
    </row>
    <row r="69" spans="2:2" x14ac:dyDescent="0.35">
      <c r="B69" s="29"/>
    </row>
    <row r="70" spans="2:2" x14ac:dyDescent="0.35">
      <c r="B70" s="29"/>
    </row>
    <row r="71" spans="2:2" x14ac:dyDescent="0.35">
      <c r="B71" s="29"/>
    </row>
    <row r="72" spans="2:2" x14ac:dyDescent="0.35">
      <c r="B72" s="29"/>
    </row>
    <row r="73" spans="2:2" x14ac:dyDescent="0.35">
      <c r="B73" s="29"/>
    </row>
    <row r="74" spans="2:2" x14ac:dyDescent="0.35">
      <c r="B74" s="29"/>
    </row>
    <row r="75" spans="2:2" x14ac:dyDescent="0.35">
      <c r="B75" s="29"/>
    </row>
    <row r="76" spans="2:2" x14ac:dyDescent="0.35">
      <c r="B76" s="29"/>
    </row>
    <row r="77" spans="2:2" x14ac:dyDescent="0.35">
      <c r="B77" s="29"/>
    </row>
    <row r="78" spans="2:2" x14ac:dyDescent="0.35">
      <c r="B78" s="29"/>
    </row>
    <row r="79" spans="2:2" x14ac:dyDescent="0.35">
      <c r="B79" s="29"/>
    </row>
    <row r="80" spans="2:2" x14ac:dyDescent="0.35">
      <c r="B80" s="29"/>
    </row>
    <row r="81" spans="2:2" x14ac:dyDescent="0.35">
      <c r="B81" s="29"/>
    </row>
    <row r="82" spans="2:2" x14ac:dyDescent="0.35">
      <c r="B82" s="29"/>
    </row>
    <row r="83" spans="2:2" x14ac:dyDescent="0.35">
      <c r="B83" s="29"/>
    </row>
    <row r="84" spans="2:2" x14ac:dyDescent="0.35">
      <c r="B84" s="29"/>
    </row>
    <row r="85" spans="2:2" x14ac:dyDescent="0.35">
      <c r="B85" s="29"/>
    </row>
    <row r="86" spans="2:2" x14ac:dyDescent="0.35">
      <c r="B86" s="29"/>
    </row>
    <row r="87" spans="2:2" x14ac:dyDescent="0.35">
      <c r="B87" s="29"/>
    </row>
    <row r="88" spans="2:2" x14ac:dyDescent="0.35">
      <c r="B88" s="29"/>
    </row>
    <row r="89" spans="2:2" x14ac:dyDescent="0.35">
      <c r="B89" s="29"/>
    </row>
    <row r="90" spans="2:2" x14ac:dyDescent="0.35">
      <c r="B90" s="29"/>
    </row>
    <row r="91" spans="2:2" x14ac:dyDescent="0.35">
      <c r="B91" s="29"/>
    </row>
    <row r="92" spans="2:2" x14ac:dyDescent="0.35">
      <c r="B92" s="29"/>
    </row>
    <row r="93" spans="2:2" x14ac:dyDescent="0.35">
      <c r="B93" s="29"/>
    </row>
    <row r="94" spans="2:2" x14ac:dyDescent="0.35">
      <c r="B94" s="29"/>
    </row>
    <row r="95" spans="2:2" x14ac:dyDescent="0.35">
      <c r="B95" s="29"/>
    </row>
    <row r="96" spans="2:2" x14ac:dyDescent="0.35">
      <c r="B96" s="29"/>
    </row>
    <row r="97" spans="2:2" x14ac:dyDescent="0.35">
      <c r="B97" s="29"/>
    </row>
    <row r="98" spans="2:2" x14ac:dyDescent="0.35">
      <c r="B98" s="29"/>
    </row>
    <row r="99" spans="2:2" x14ac:dyDescent="0.35">
      <c r="B99" s="29"/>
    </row>
    <row r="100" spans="2:2" x14ac:dyDescent="0.35">
      <c r="B100" s="29"/>
    </row>
    <row r="101" spans="2:2" x14ac:dyDescent="0.35">
      <c r="B101" s="29"/>
    </row>
    <row r="102" spans="2:2" x14ac:dyDescent="0.35">
      <c r="B102" s="29"/>
    </row>
    <row r="103" spans="2:2" x14ac:dyDescent="0.35">
      <c r="B103" s="29"/>
    </row>
    <row r="104" spans="2:2" x14ac:dyDescent="0.35">
      <c r="B104" s="29"/>
    </row>
    <row r="105" spans="2:2" x14ac:dyDescent="0.35">
      <c r="B105" s="29"/>
    </row>
    <row r="106" spans="2:2" x14ac:dyDescent="0.35">
      <c r="B106" s="29"/>
    </row>
    <row r="107" spans="2:2" x14ac:dyDescent="0.35">
      <c r="B107" s="29"/>
    </row>
    <row r="108" spans="2:2" x14ac:dyDescent="0.35">
      <c r="B108" s="29"/>
    </row>
    <row r="109" spans="2:2" x14ac:dyDescent="0.35">
      <c r="B109" s="29"/>
    </row>
    <row r="110" spans="2:2" x14ac:dyDescent="0.35">
      <c r="B110" s="29"/>
    </row>
    <row r="111" spans="2:2" x14ac:dyDescent="0.35">
      <c r="B111" s="29"/>
    </row>
    <row r="112" spans="2:2" x14ac:dyDescent="0.35">
      <c r="B112" s="29"/>
    </row>
    <row r="113" spans="2:2" x14ac:dyDescent="0.35">
      <c r="B113" s="29"/>
    </row>
    <row r="114" spans="2:2" x14ac:dyDescent="0.35">
      <c r="B114" s="29"/>
    </row>
    <row r="115" spans="2:2" x14ac:dyDescent="0.35">
      <c r="B115" s="29"/>
    </row>
    <row r="116" spans="2:2" x14ac:dyDescent="0.35">
      <c r="B116" s="29"/>
    </row>
    <row r="117" spans="2:2" x14ac:dyDescent="0.35">
      <c r="B117" s="29"/>
    </row>
    <row r="118" spans="2:2" x14ac:dyDescent="0.35">
      <c r="B118" s="29"/>
    </row>
    <row r="119" spans="2:2" x14ac:dyDescent="0.35">
      <c r="B119" s="29"/>
    </row>
    <row r="120" spans="2:2" x14ac:dyDescent="0.35">
      <c r="B120" s="29"/>
    </row>
    <row r="121" spans="2:2" x14ac:dyDescent="0.35">
      <c r="B121" s="29"/>
    </row>
    <row r="122" spans="2:2" x14ac:dyDescent="0.35">
      <c r="B122" s="29"/>
    </row>
    <row r="123" spans="2:2" x14ac:dyDescent="0.35">
      <c r="B123" s="29"/>
    </row>
    <row r="124" spans="2:2" x14ac:dyDescent="0.35">
      <c r="B124" s="29"/>
    </row>
    <row r="125" spans="2:2" x14ac:dyDescent="0.35">
      <c r="B125" s="29"/>
    </row>
    <row r="126" spans="2:2" x14ac:dyDescent="0.35">
      <c r="B126" s="29"/>
    </row>
    <row r="127" spans="2:2" x14ac:dyDescent="0.35">
      <c r="B127" s="29"/>
    </row>
    <row r="128" spans="2:2" x14ac:dyDescent="0.35">
      <c r="B128" s="29"/>
    </row>
    <row r="129" spans="2:2" x14ac:dyDescent="0.35">
      <c r="B129" s="29"/>
    </row>
    <row r="130" spans="2:2" x14ac:dyDescent="0.35">
      <c r="B130" s="29"/>
    </row>
    <row r="131" spans="2:2" x14ac:dyDescent="0.35">
      <c r="B131" s="29"/>
    </row>
    <row r="132" spans="2:2" x14ac:dyDescent="0.35">
      <c r="B132" s="29"/>
    </row>
    <row r="133" spans="2:2" x14ac:dyDescent="0.35">
      <c r="B133" s="29"/>
    </row>
    <row r="134" spans="2:2" x14ac:dyDescent="0.35">
      <c r="B134" s="29"/>
    </row>
    <row r="135" spans="2:2" x14ac:dyDescent="0.35">
      <c r="B135" s="29"/>
    </row>
    <row r="136" spans="2:2" x14ac:dyDescent="0.35">
      <c r="B136" s="29"/>
    </row>
    <row r="137" spans="2:2" x14ac:dyDescent="0.35">
      <c r="B137" s="29"/>
    </row>
    <row r="138" spans="2:2" x14ac:dyDescent="0.35">
      <c r="B138" s="29"/>
    </row>
    <row r="139" spans="2:2" x14ac:dyDescent="0.35">
      <c r="B139" s="29"/>
    </row>
    <row r="140" spans="2:2" x14ac:dyDescent="0.35">
      <c r="B140" s="29"/>
    </row>
    <row r="141" spans="2:2" x14ac:dyDescent="0.35">
      <c r="B141" s="29"/>
    </row>
    <row r="142" spans="2:2" x14ac:dyDescent="0.35">
      <c r="B142" s="29"/>
    </row>
    <row r="143" spans="2:2" x14ac:dyDescent="0.35">
      <c r="B143" s="29"/>
    </row>
    <row r="144" spans="2:2" x14ac:dyDescent="0.35">
      <c r="B144" s="29"/>
    </row>
    <row r="145" spans="2:2" x14ac:dyDescent="0.35">
      <c r="B145" s="29"/>
    </row>
    <row r="146" spans="2:2" x14ac:dyDescent="0.35">
      <c r="B146" s="29"/>
    </row>
    <row r="147" spans="2:2" x14ac:dyDescent="0.35">
      <c r="B147" s="29"/>
    </row>
    <row r="148" spans="2:2" x14ac:dyDescent="0.35">
      <c r="B148" s="29"/>
    </row>
    <row r="149" spans="2:2" x14ac:dyDescent="0.35">
      <c r="B149" s="29"/>
    </row>
    <row r="150" spans="2:2" x14ac:dyDescent="0.35">
      <c r="B150" s="29"/>
    </row>
    <row r="151" spans="2:2" x14ac:dyDescent="0.35">
      <c r="B151" s="29"/>
    </row>
    <row r="152" spans="2:2" x14ac:dyDescent="0.35">
      <c r="B152" s="29"/>
    </row>
    <row r="153" spans="2:2" x14ac:dyDescent="0.35">
      <c r="B153" s="29"/>
    </row>
    <row r="154" spans="2:2" x14ac:dyDescent="0.35">
      <c r="B154" s="29"/>
    </row>
    <row r="155" spans="2:2" x14ac:dyDescent="0.35">
      <c r="B155" s="29"/>
    </row>
    <row r="156" spans="2:2" x14ac:dyDescent="0.35">
      <c r="B156" s="29"/>
    </row>
    <row r="157" spans="2:2" x14ac:dyDescent="0.35">
      <c r="B157" s="29"/>
    </row>
    <row r="158" spans="2:2" x14ac:dyDescent="0.35">
      <c r="B158" s="29"/>
    </row>
    <row r="159" spans="2:2" x14ac:dyDescent="0.35">
      <c r="B159" s="29"/>
    </row>
    <row r="160" spans="2:2" x14ac:dyDescent="0.35">
      <c r="B160" s="29"/>
    </row>
    <row r="161" spans="2:2" x14ac:dyDescent="0.35">
      <c r="B161" s="29"/>
    </row>
    <row r="162" spans="2:2" x14ac:dyDescent="0.35">
      <c r="B162" s="29"/>
    </row>
    <row r="163" spans="2:2" x14ac:dyDescent="0.35">
      <c r="B163" s="29"/>
    </row>
    <row r="164" spans="2:2" x14ac:dyDescent="0.35">
      <c r="B164" s="29"/>
    </row>
    <row r="165" spans="2:2" x14ac:dyDescent="0.35">
      <c r="B165" s="29"/>
    </row>
    <row r="166" spans="2:2" x14ac:dyDescent="0.35">
      <c r="B166" s="29"/>
    </row>
    <row r="167" spans="2:2" x14ac:dyDescent="0.35">
      <c r="B167" s="29"/>
    </row>
    <row r="168" spans="2:2" x14ac:dyDescent="0.35">
      <c r="B168" s="29"/>
    </row>
    <row r="169" spans="2:2" x14ac:dyDescent="0.35">
      <c r="B169" s="29"/>
    </row>
    <row r="170" spans="2:2" x14ac:dyDescent="0.35">
      <c r="B170" s="29"/>
    </row>
    <row r="171" spans="2:2" x14ac:dyDescent="0.35">
      <c r="B171" s="29"/>
    </row>
    <row r="172" spans="2:2" x14ac:dyDescent="0.35">
      <c r="B172" s="29"/>
    </row>
    <row r="173" spans="2:2" x14ac:dyDescent="0.35">
      <c r="B173" s="29"/>
    </row>
    <row r="174" spans="2:2" x14ac:dyDescent="0.35">
      <c r="B174" s="29"/>
    </row>
    <row r="175" spans="2:2" x14ac:dyDescent="0.35">
      <c r="B175" s="29"/>
    </row>
    <row r="176" spans="2:2" x14ac:dyDescent="0.35">
      <c r="B176" s="29"/>
    </row>
    <row r="177" spans="2:2" x14ac:dyDescent="0.35">
      <c r="B177" s="29"/>
    </row>
    <row r="178" spans="2:2" x14ac:dyDescent="0.35">
      <c r="B178" s="29"/>
    </row>
    <row r="179" spans="2:2" x14ac:dyDescent="0.35">
      <c r="B179" s="29"/>
    </row>
    <row r="180" spans="2:2" x14ac:dyDescent="0.35">
      <c r="B180" s="29"/>
    </row>
    <row r="181" spans="2:2" x14ac:dyDescent="0.35">
      <c r="B181" s="29"/>
    </row>
    <row r="182" spans="2:2" x14ac:dyDescent="0.35">
      <c r="B182" s="29"/>
    </row>
    <row r="183" spans="2:2" x14ac:dyDescent="0.35">
      <c r="B183" s="29"/>
    </row>
    <row r="184" spans="2:2" x14ac:dyDescent="0.35">
      <c r="B184" s="29"/>
    </row>
    <row r="185" spans="2:2" x14ac:dyDescent="0.35">
      <c r="B185" s="29"/>
    </row>
  </sheetData>
  <mergeCells count="2">
    <mergeCell ref="E12:F12"/>
    <mergeCell ref="E31:F31"/>
  </mergeCells>
  <pageMargins left="0.7" right="0.7" top="0.75" bottom="0.75" header="0.3" footer="0.3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Z1334"/>
  <sheetViews>
    <sheetView view="pageBreakPreview" topLeftCell="A7" zoomScale="70" zoomScaleNormal="85" zoomScaleSheetLayoutView="70" workbookViewId="0">
      <selection activeCell="N21" sqref="N21"/>
    </sheetView>
  </sheetViews>
  <sheetFormatPr defaultColWidth="8.81640625" defaultRowHeight="14.5" outlineLevelRow="1" x14ac:dyDescent="0.35"/>
  <cols>
    <col min="1" max="1" width="5.81640625" style="5" customWidth="1"/>
    <col min="2" max="2" width="11.1796875" style="5" customWidth="1"/>
    <col min="3" max="3" width="12" style="5" customWidth="1"/>
    <col min="4" max="4" width="10.1796875" style="13" customWidth="1"/>
    <col min="5" max="5" width="14.26953125" style="5" customWidth="1"/>
    <col min="6" max="6" width="15.26953125" style="5" customWidth="1"/>
    <col min="7" max="7" width="11.1796875" style="5" bestFit="1" customWidth="1"/>
    <col min="8" max="9" width="11.1796875" style="5" customWidth="1"/>
    <col min="10" max="10" width="10.26953125" style="57" customWidth="1"/>
    <col min="11" max="11" width="13.54296875" style="144" customWidth="1"/>
    <col min="12" max="12" width="9.26953125" style="57" customWidth="1"/>
    <col min="13" max="14" width="10.26953125" style="57" customWidth="1"/>
    <col min="15" max="18" width="11.81640625" style="57" customWidth="1"/>
    <col min="19" max="19" width="12.81640625" style="57" customWidth="1"/>
    <col min="20" max="20" width="11.81640625" style="5" customWidth="1"/>
    <col min="21" max="21" width="12.81640625" style="5" bestFit="1" customWidth="1"/>
    <col min="22" max="22" width="11.81640625" style="5" bestFit="1" customWidth="1"/>
    <col min="23" max="24" width="12.81640625" style="5" bestFit="1" customWidth="1"/>
    <col min="25" max="25" width="12.81640625" style="5" customWidth="1"/>
    <col min="26" max="26" width="9.81640625" style="5" bestFit="1" customWidth="1"/>
    <col min="27" max="16384" width="8.81640625" style="5"/>
  </cols>
  <sheetData>
    <row r="2" spans="2:25" ht="15.5" x14ac:dyDescent="0.35">
      <c r="B2" s="448" t="s">
        <v>118</v>
      </c>
      <c r="C2" s="448"/>
      <c r="D2" s="448"/>
      <c r="E2" s="448"/>
      <c r="F2" s="448"/>
      <c r="G2" s="448"/>
      <c r="H2" s="448"/>
      <c r="I2" s="448"/>
      <c r="J2" s="448"/>
      <c r="K2" s="448"/>
      <c r="S2" s="133"/>
      <c r="T2" s="230">
        <v>10.7639</v>
      </c>
    </row>
    <row r="3" spans="2:25" x14ac:dyDescent="0.35">
      <c r="B3" s="449"/>
      <c r="C3" s="450"/>
      <c r="D3" s="450"/>
      <c r="E3" s="450"/>
      <c r="F3" s="451"/>
      <c r="G3" s="4"/>
      <c r="H3" s="4"/>
      <c r="I3" s="4"/>
      <c r="J3" s="134" t="s">
        <v>12</v>
      </c>
      <c r="K3" s="135" t="s">
        <v>13</v>
      </c>
    </row>
    <row r="4" spans="2:25" ht="14.5" customHeight="1" x14ac:dyDescent="0.35">
      <c r="B4" s="446">
        <v>1</v>
      </c>
      <c r="C4" s="447"/>
      <c r="D4" s="452" t="s">
        <v>164</v>
      </c>
      <c r="E4" s="453"/>
      <c r="F4" s="453"/>
      <c r="G4" s="454"/>
      <c r="H4" s="235"/>
      <c r="I4" s="235"/>
      <c r="J4" s="7">
        <v>6959.83</v>
      </c>
      <c r="K4" s="136">
        <f>J4*$T$2</f>
        <v>74914.914137</v>
      </c>
    </row>
    <row r="5" spans="2:25" ht="14.5" customHeight="1" x14ac:dyDescent="0.35">
      <c r="B5" s="446">
        <v>2</v>
      </c>
      <c r="C5" s="447"/>
      <c r="D5" s="452" t="s">
        <v>165</v>
      </c>
      <c r="E5" s="453"/>
      <c r="F5" s="453"/>
      <c r="G5" s="454"/>
      <c r="H5" s="235"/>
      <c r="I5" s="235"/>
      <c r="J5" s="7">
        <v>6645.16</v>
      </c>
      <c r="K5" s="136">
        <f t="shared" ref="K5:K6" si="0">J5*$T$2</f>
        <v>71527.837723999997</v>
      </c>
    </row>
    <row r="6" spans="2:25" ht="34.5" customHeight="1" x14ac:dyDescent="0.35">
      <c r="B6" s="446">
        <v>3</v>
      </c>
      <c r="C6" s="447"/>
      <c r="D6" s="452" t="s">
        <v>166</v>
      </c>
      <c r="E6" s="453"/>
      <c r="F6" s="453"/>
      <c r="G6" s="454"/>
      <c r="H6" s="235"/>
      <c r="I6" s="235"/>
      <c r="J6" s="219">
        <v>6522.3</v>
      </c>
      <c r="K6" s="227">
        <f t="shared" si="0"/>
        <v>70205.384969999999</v>
      </c>
    </row>
    <row r="7" spans="2:25" ht="27" customHeight="1" x14ac:dyDescent="0.35">
      <c r="B7" s="446">
        <v>6</v>
      </c>
      <c r="C7" s="447"/>
      <c r="D7" s="452" t="s">
        <v>142</v>
      </c>
      <c r="E7" s="453"/>
      <c r="F7" s="453"/>
      <c r="G7" s="454"/>
      <c r="H7" s="235"/>
      <c r="I7" s="235"/>
      <c r="J7" s="219"/>
      <c r="K7" s="227">
        <f t="shared" ref="K7:K10" si="1">J7*$T$2</f>
        <v>0</v>
      </c>
      <c r="M7" s="161">
        <f>W46</f>
        <v>0</v>
      </c>
      <c r="N7" s="57">
        <f>+K7-M7</f>
        <v>0</v>
      </c>
      <c r="T7" s="57"/>
      <c r="U7" s="215"/>
      <c r="V7" s="57"/>
      <c r="X7" s="218"/>
    </row>
    <row r="8" spans="2:25" ht="18.649999999999999" customHeight="1" x14ac:dyDescent="0.35">
      <c r="B8" s="446">
        <v>7</v>
      </c>
      <c r="C8" s="447"/>
      <c r="D8" s="452" t="s">
        <v>17</v>
      </c>
      <c r="E8" s="453"/>
      <c r="F8" s="453"/>
      <c r="G8" s="454"/>
      <c r="H8" s="235"/>
      <c r="I8" s="235"/>
      <c r="J8" s="223"/>
      <c r="K8" s="137">
        <f t="shared" si="1"/>
        <v>0</v>
      </c>
      <c r="T8" s="57"/>
      <c r="U8" s="215"/>
      <c r="X8" s="218"/>
    </row>
    <row r="9" spans="2:25" ht="39" customHeight="1" x14ac:dyDescent="0.35">
      <c r="B9" s="446">
        <v>8</v>
      </c>
      <c r="C9" s="447"/>
      <c r="D9" s="452" t="s">
        <v>18</v>
      </c>
      <c r="E9" s="453"/>
      <c r="F9" s="453"/>
      <c r="G9" s="454"/>
      <c r="H9" s="235"/>
      <c r="I9" s="235"/>
      <c r="J9" s="223">
        <f>J46+L46</f>
        <v>2167.52</v>
      </c>
      <c r="K9" s="136">
        <f t="shared" si="1"/>
        <v>23330.968527999998</v>
      </c>
      <c r="T9" s="57"/>
    </row>
    <row r="10" spans="2:25" ht="14.5" customHeight="1" x14ac:dyDescent="0.35">
      <c r="B10" s="446">
        <v>9</v>
      </c>
      <c r="C10" s="447"/>
      <c r="D10" s="452" t="s">
        <v>19</v>
      </c>
      <c r="E10" s="453"/>
      <c r="F10" s="453"/>
      <c r="G10" s="454"/>
      <c r="H10" s="235"/>
      <c r="I10" s="235"/>
      <c r="J10" s="223">
        <f>'COMMON AREA'!C10+'COMMON AREA'!C29</f>
        <v>1745.5</v>
      </c>
      <c r="K10" s="136">
        <f t="shared" si="1"/>
        <v>18788.387449999998</v>
      </c>
    </row>
    <row r="11" spans="2:25" ht="14.5" customHeight="1" x14ac:dyDescent="0.35">
      <c r="B11" s="446">
        <v>10</v>
      </c>
      <c r="C11" s="447"/>
      <c r="D11" s="452" t="s">
        <v>20</v>
      </c>
      <c r="E11" s="453"/>
      <c r="F11" s="453"/>
      <c r="G11" s="454"/>
      <c r="H11" s="234"/>
      <c r="I11" s="234"/>
      <c r="J11" s="153"/>
      <c r="K11" s="138"/>
    </row>
    <row r="12" spans="2:25" ht="25.15" customHeight="1" x14ac:dyDescent="0.35">
      <c r="B12" s="446">
        <v>11</v>
      </c>
      <c r="C12" s="447"/>
      <c r="D12" s="452" t="s">
        <v>100</v>
      </c>
      <c r="E12" s="453"/>
      <c r="F12" s="453"/>
      <c r="G12" s="454"/>
      <c r="H12" s="234"/>
      <c r="I12" s="234"/>
      <c r="J12" s="153"/>
      <c r="K12" s="138"/>
    </row>
    <row r="13" spans="2:25" ht="9.65" customHeight="1" x14ac:dyDescent="0.35">
      <c r="B13" s="56"/>
      <c r="C13" s="56"/>
      <c r="D13" s="56"/>
      <c r="E13" s="56"/>
      <c r="F13" s="56"/>
      <c r="G13" s="56"/>
      <c r="H13" s="56"/>
      <c r="I13" s="56"/>
      <c r="J13" s="139"/>
      <c r="K13" s="139"/>
    </row>
    <row r="15" spans="2:25" ht="14.5" customHeight="1" x14ac:dyDescent="0.35">
      <c r="B15" s="466" t="s">
        <v>163</v>
      </c>
      <c r="C15" s="467"/>
      <c r="D15" s="467"/>
      <c r="E15" s="467"/>
      <c r="F15" s="467"/>
      <c r="G15" s="467"/>
      <c r="H15" s="467"/>
      <c r="I15" s="467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8"/>
      <c r="X15" s="158" t="s">
        <v>96</v>
      </c>
      <c r="Y15" s="158"/>
    </row>
    <row r="16" spans="2:25" s="8" customFormat="1" ht="43.5" customHeight="1" x14ac:dyDescent="0.35">
      <c r="B16" s="457" t="s">
        <v>21</v>
      </c>
      <c r="C16" s="459" t="s">
        <v>22</v>
      </c>
      <c r="D16" s="460"/>
      <c r="E16" s="450" t="s">
        <v>23</v>
      </c>
      <c r="F16" s="457" t="s">
        <v>24</v>
      </c>
      <c r="G16" s="457" t="s">
        <v>113</v>
      </c>
      <c r="H16" s="449" t="s">
        <v>149</v>
      </c>
      <c r="I16" s="451"/>
      <c r="J16" s="464" t="s">
        <v>25</v>
      </c>
      <c r="K16" s="470"/>
      <c r="L16" s="471" t="s">
        <v>26</v>
      </c>
      <c r="M16" s="472"/>
      <c r="N16" s="469" t="s">
        <v>159</v>
      </c>
      <c r="O16" s="469"/>
      <c r="P16" s="464" t="s">
        <v>146</v>
      </c>
      <c r="Q16" s="465"/>
      <c r="R16" s="465" t="s">
        <v>27</v>
      </c>
      <c r="S16" s="470"/>
      <c r="T16" s="469" t="s">
        <v>28</v>
      </c>
      <c r="U16" s="469"/>
      <c r="V16" s="469" t="s">
        <v>145</v>
      </c>
      <c r="W16" s="469"/>
      <c r="X16" s="119" t="s">
        <v>97</v>
      </c>
      <c r="Y16" s="165"/>
    </row>
    <row r="17" spans="1:26" s="1" customFormat="1" ht="15" thickBot="1" x14ac:dyDescent="0.4">
      <c r="B17" s="458"/>
      <c r="C17" s="461"/>
      <c r="D17" s="462"/>
      <c r="E17" s="463"/>
      <c r="F17" s="458"/>
      <c r="G17" s="458"/>
      <c r="H17" s="140" t="s">
        <v>30</v>
      </c>
      <c r="I17" s="140" t="s">
        <v>117</v>
      </c>
      <c r="J17" s="140" t="s">
        <v>30</v>
      </c>
      <c r="K17" s="140" t="s">
        <v>117</v>
      </c>
      <c r="L17" s="141" t="s">
        <v>30</v>
      </c>
      <c r="M17" s="140" t="s">
        <v>117</v>
      </c>
      <c r="N17" s="140" t="s">
        <v>30</v>
      </c>
      <c r="O17" s="140" t="s">
        <v>117</v>
      </c>
      <c r="P17" s="140" t="s">
        <v>30</v>
      </c>
      <c r="Q17" s="140" t="s">
        <v>117</v>
      </c>
      <c r="R17" s="142" t="s">
        <v>30</v>
      </c>
      <c r="S17" s="140" t="s">
        <v>117</v>
      </c>
      <c r="T17" s="140" t="s">
        <v>30</v>
      </c>
      <c r="U17" s="140" t="s">
        <v>31</v>
      </c>
      <c r="V17" s="140" t="s">
        <v>30</v>
      </c>
      <c r="W17" s="140" t="s">
        <v>31</v>
      </c>
      <c r="X17" s="6"/>
    </row>
    <row r="18" spans="1:26" ht="14.5" customHeight="1" outlineLevel="1" x14ac:dyDescent="0.35">
      <c r="A18" s="9"/>
      <c r="B18" s="10">
        <v>1</v>
      </c>
      <c r="C18" s="256" t="s">
        <v>32</v>
      </c>
      <c r="D18" s="12">
        <v>1</v>
      </c>
      <c r="E18" s="210" t="s">
        <v>147</v>
      </c>
      <c r="F18" s="226" t="s">
        <v>34</v>
      </c>
      <c r="G18" s="123" t="s">
        <v>114</v>
      </c>
      <c r="H18" s="240">
        <v>68.97</v>
      </c>
      <c r="I18" s="241">
        <f>H18*10.764</f>
        <v>742.39307999999994</v>
      </c>
      <c r="J18" s="224">
        <v>58.38</v>
      </c>
      <c r="K18" s="170">
        <f t="shared" ref="K18:K44" si="2">ROUND(J18*$T$2,0)</f>
        <v>628</v>
      </c>
      <c r="L18" s="224">
        <v>2.4300000000000002</v>
      </c>
      <c r="M18" s="170">
        <f t="shared" ref="M18:M44" si="3">ROUND(L18*$T$2,0)</f>
        <v>26</v>
      </c>
      <c r="N18" s="257">
        <v>59.64</v>
      </c>
      <c r="O18" s="170">
        <f>N18*10.764</f>
        <v>641.96496000000002</v>
      </c>
      <c r="P18" s="243">
        <v>9.1</v>
      </c>
      <c r="Q18" s="170">
        <f>P18*10.764</f>
        <v>97.952399999999997</v>
      </c>
      <c r="R18" s="162">
        <f t="shared" ref="R18:R44" si="4">N18*$J$11</f>
        <v>0</v>
      </c>
      <c r="S18" s="168">
        <f>ROUND(R18*$T$2,0)</f>
        <v>0</v>
      </c>
      <c r="T18" s="163"/>
      <c r="U18" s="168">
        <f t="shared" ref="U18:U44" si="5">ROUND(T18*$T$2,0)</f>
        <v>0</v>
      </c>
      <c r="V18" s="143"/>
      <c r="W18" s="143">
        <f t="shared" ref="W18:W44" si="6">ROUND(V18*$T$2,2)</f>
        <v>0</v>
      </c>
      <c r="X18" s="120">
        <v>1</v>
      </c>
      <c r="Y18" s="166">
        <f>+K18+M18+S18</f>
        <v>654</v>
      </c>
      <c r="Z18" s="161">
        <f>+U18-Y18</f>
        <v>-654</v>
      </c>
    </row>
    <row r="19" spans="1:26" outlineLevel="1" x14ac:dyDescent="0.35">
      <c r="A19" s="9"/>
      <c r="B19" s="10">
        <f t="shared" ref="B19:B24" si="7">B18+1</f>
        <v>2</v>
      </c>
      <c r="C19" s="255" t="s">
        <v>32</v>
      </c>
      <c r="D19" s="12">
        <v>2</v>
      </c>
      <c r="E19" s="208" t="s">
        <v>35</v>
      </c>
      <c r="F19" s="239" t="s">
        <v>34</v>
      </c>
      <c r="G19" s="123" t="s">
        <v>114</v>
      </c>
      <c r="H19" s="240">
        <v>72.989999999999995</v>
      </c>
      <c r="I19" s="241">
        <f t="shared" ref="I19:I44" si="8">H19*10.764</f>
        <v>785.66435999999987</v>
      </c>
      <c r="J19" s="225">
        <v>61.89</v>
      </c>
      <c r="K19" s="170">
        <f t="shared" si="2"/>
        <v>666</v>
      </c>
      <c r="L19" s="225">
        <v>2.4300000000000002</v>
      </c>
      <c r="M19" s="170">
        <f t="shared" si="3"/>
        <v>26</v>
      </c>
      <c r="N19" s="258">
        <v>63.03</v>
      </c>
      <c r="O19" s="170">
        <f t="shared" ref="O19:O44" si="9">N19*10.764</f>
        <v>678.45492000000002</v>
      </c>
      <c r="P19" s="243">
        <v>0</v>
      </c>
      <c r="Q19" s="170">
        <f t="shared" ref="Q19:Q27" si="10">ROUND(P19*$T$2,0)</f>
        <v>0</v>
      </c>
      <c r="R19" s="163">
        <f t="shared" si="4"/>
        <v>0</v>
      </c>
      <c r="S19" s="168">
        <f>ROUND(R19*$T$2,0)</f>
        <v>0</v>
      </c>
      <c r="T19" s="163"/>
      <c r="U19" s="244">
        <f t="shared" si="5"/>
        <v>0</v>
      </c>
      <c r="V19" s="143"/>
      <c r="W19" s="143">
        <f t="shared" si="6"/>
        <v>0</v>
      </c>
      <c r="X19" s="120">
        <v>1</v>
      </c>
      <c r="Y19" s="166">
        <f t="shared" ref="Y19:Y44" si="11">+K19+M19+S19</f>
        <v>692</v>
      </c>
      <c r="Z19" s="161">
        <f t="shared" ref="Z19:Z44" si="12">+U19-Y19</f>
        <v>-692</v>
      </c>
    </row>
    <row r="20" spans="1:26" outlineLevel="1" x14ac:dyDescent="0.35">
      <c r="A20" s="9"/>
      <c r="B20" s="10">
        <f t="shared" si="7"/>
        <v>3</v>
      </c>
      <c r="C20" s="255" t="s">
        <v>32</v>
      </c>
      <c r="D20" s="12">
        <v>3</v>
      </c>
      <c r="E20" s="210" t="s">
        <v>33</v>
      </c>
      <c r="F20" s="239" t="s">
        <v>36</v>
      </c>
      <c r="G20" s="123" t="s">
        <v>114</v>
      </c>
      <c r="H20" s="240">
        <v>94.42</v>
      </c>
      <c r="I20" s="241">
        <f t="shared" si="8"/>
        <v>1016.33688</v>
      </c>
      <c r="J20" s="225">
        <v>79.680000000000007</v>
      </c>
      <c r="K20" s="170">
        <f t="shared" si="2"/>
        <v>858</v>
      </c>
      <c r="L20" s="225">
        <v>4.12</v>
      </c>
      <c r="M20" s="170">
        <f t="shared" si="3"/>
        <v>44</v>
      </c>
      <c r="N20" s="259">
        <v>81.53</v>
      </c>
      <c r="O20" s="170">
        <f t="shared" si="9"/>
        <v>877.58891999999992</v>
      </c>
      <c r="P20" s="243">
        <v>0</v>
      </c>
      <c r="Q20" s="170">
        <f t="shared" si="10"/>
        <v>0</v>
      </c>
      <c r="R20" s="163">
        <f t="shared" si="4"/>
        <v>0</v>
      </c>
      <c r="S20" s="168">
        <f>ROUND(R20*$T$2,0)</f>
        <v>0</v>
      </c>
      <c r="T20" s="163"/>
      <c r="U20" s="244">
        <f t="shared" si="5"/>
        <v>0</v>
      </c>
      <c r="V20" s="143"/>
      <c r="W20" s="143">
        <f t="shared" si="6"/>
        <v>0</v>
      </c>
      <c r="X20" s="120">
        <v>1</v>
      </c>
      <c r="Y20" s="166">
        <f t="shared" si="11"/>
        <v>902</v>
      </c>
      <c r="Z20" s="161">
        <f t="shared" si="12"/>
        <v>-902</v>
      </c>
    </row>
    <row r="21" spans="1:26" ht="15.75" customHeight="1" outlineLevel="1" x14ac:dyDescent="0.35">
      <c r="A21" s="9"/>
      <c r="B21" s="10">
        <f t="shared" si="7"/>
        <v>4</v>
      </c>
      <c r="C21" s="255" t="s">
        <v>32</v>
      </c>
      <c r="D21" s="12">
        <v>4</v>
      </c>
      <c r="E21" s="208" t="s">
        <v>37</v>
      </c>
      <c r="F21" s="239" t="s">
        <v>105</v>
      </c>
      <c r="G21" s="123" t="s">
        <v>114</v>
      </c>
      <c r="H21" s="240">
        <v>115.75</v>
      </c>
      <c r="I21" s="241">
        <f t="shared" si="8"/>
        <v>1245.933</v>
      </c>
      <c r="J21" s="225">
        <v>94.77</v>
      </c>
      <c r="K21" s="170">
        <f t="shared" si="2"/>
        <v>1020</v>
      </c>
      <c r="L21" s="225">
        <v>9.93</v>
      </c>
      <c r="M21" s="170">
        <f t="shared" si="3"/>
        <v>107</v>
      </c>
      <c r="N21" s="260">
        <v>101.82</v>
      </c>
      <c r="O21" s="170">
        <f t="shared" si="9"/>
        <v>1095.9904799999999</v>
      </c>
      <c r="P21" s="224">
        <v>14.31</v>
      </c>
      <c r="Q21" s="170">
        <f t="shared" si="10"/>
        <v>154</v>
      </c>
      <c r="R21" s="163">
        <f t="shared" si="4"/>
        <v>0</v>
      </c>
      <c r="S21" s="168">
        <f t="shared" ref="S21:S30" si="13">ROUND(R21*$T$2,0)</f>
        <v>0</v>
      </c>
      <c r="T21" s="163"/>
      <c r="U21" s="244">
        <f t="shared" si="5"/>
        <v>0</v>
      </c>
      <c r="V21" s="143"/>
      <c r="W21" s="143">
        <f t="shared" si="6"/>
        <v>0</v>
      </c>
      <c r="X21" s="120">
        <v>1</v>
      </c>
      <c r="Y21" s="166">
        <f t="shared" si="11"/>
        <v>1127</v>
      </c>
      <c r="Z21" s="161">
        <f t="shared" si="12"/>
        <v>-1127</v>
      </c>
    </row>
    <row r="22" spans="1:26" x14ac:dyDescent="0.35">
      <c r="B22" s="10">
        <f t="shared" si="7"/>
        <v>5</v>
      </c>
      <c r="C22" s="255" t="s">
        <v>32</v>
      </c>
      <c r="D22" s="12">
        <v>5</v>
      </c>
      <c r="E22" s="210" t="s">
        <v>35</v>
      </c>
      <c r="F22" s="239" t="s">
        <v>36</v>
      </c>
      <c r="G22" s="123" t="s">
        <v>114</v>
      </c>
      <c r="H22" s="240">
        <v>73.31</v>
      </c>
      <c r="I22" s="241">
        <f t="shared" si="8"/>
        <v>789.10883999999999</v>
      </c>
      <c r="J22" s="225">
        <v>61.43</v>
      </c>
      <c r="K22" s="170">
        <f t="shared" si="2"/>
        <v>661</v>
      </c>
      <c r="L22" s="225">
        <v>3.81</v>
      </c>
      <c r="M22" s="170">
        <f t="shared" si="3"/>
        <v>41</v>
      </c>
      <c r="N22" s="259">
        <v>63.41</v>
      </c>
      <c r="O22" s="170">
        <f t="shared" si="9"/>
        <v>682.54523999999992</v>
      </c>
      <c r="P22" s="243">
        <v>14.47</v>
      </c>
      <c r="Q22" s="170">
        <f t="shared" si="10"/>
        <v>156</v>
      </c>
      <c r="R22" s="163">
        <f t="shared" si="4"/>
        <v>0</v>
      </c>
      <c r="S22" s="168">
        <f t="shared" si="13"/>
        <v>0</v>
      </c>
      <c r="T22" s="163"/>
      <c r="U22" s="244">
        <f t="shared" si="5"/>
        <v>0</v>
      </c>
      <c r="V22" s="143"/>
      <c r="W22" s="143">
        <f t="shared" si="6"/>
        <v>0</v>
      </c>
      <c r="X22" s="120">
        <v>1</v>
      </c>
      <c r="Y22" s="166">
        <f t="shared" si="11"/>
        <v>702</v>
      </c>
      <c r="Z22" s="161">
        <f t="shared" si="12"/>
        <v>-702</v>
      </c>
    </row>
    <row r="23" spans="1:26" x14ac:dyDescent="0.35">
      <c r="B23" s="10">
        <f t="shared" si="7"/>
        <v>6</v>
      </c>
      <c r="C23" s="255" t="s">
        <v>32</v>
      </c>
      <c r="D23" s="12">
        <v>6</v>
      </c>
      <c r="E23" s="210" t="s">
        <v>147</v>
      </c>
      <c r="F23" s="239" t="s">
        <v>34</v>
      </c>
      <c r="G23" s="123" t="s">
        <v>114</v>
      </c>
      <c r="H23" s="240">
        <v>68.900000000000006</v>
      </c>
      <c r="I23" s="241">
        <f t="shared" si="8"/>
        <v>741.63959999999997</v>
      </c>
      <c r="J23" s="225">
        <v>58.38</v>
      </c>
      <c r="K23" s="170">
        <f t="shared" si="2"/>
        <v>628</v>
      </c>
      <c r="L23" s="225">
        <v>2.4300000000000002</v>
      </c>
      <c r="M23" s="170">
        <f t="shared" si="3"/>
        <v>26</v>
      </c>
      <c r="N23" s="259">
        <v>59.59</v>
      </c>
      <c r="O23" s="170">
        <f t="shared" si="9"/>
        <v>641.42675999999994</v>
      </c>
      <c r="P23" s="243">
        <v>1.36</v>
      </c>
      <c r="Q23" s="170">
        <f t="shared" si="10"/>
        <v>15</v>
      </c>
      <c r="R23" s="163">
        <f t="shared" si="4"/>
        <v>0</v>
      </c>
      <c r="S23" s="168">
        <f t="shared" si="13"/>
        <v>0</v>
      </c>
      <c r="T23" s="163"/>
      <c r="U23" s="244">
        <f t="shared" si="5"/>
        <v>0</v>
      </c>
      <c r="V23" s="143"/>
      <c r="W23" s="143">
        <f t="shared" si="6"/>
        <v>0</v>
      </c>
      <c r="X23" s="120">
        <v>1</v>
      </c>
      <c r="Y23" s="166">
        <f t="shared" si="11"/>
        <v>654</v>
      </c>
      <c r="Z23" s="161">
        <f t="shared" si="12"/>
        <v>-654</v>
      </c>
    </row>
    <row r="24" spans="1:26" x14ac:dyDescent="0.35">
      <c r="B24" s="10">
        <f t="shared" si="7"/>
        <v>7</v>
      </c>
      <c r="C24" s="255" t="s">
        <v>32</v>
      </c>
      <c r="D24" s="12">
        <v>7</v>
      </c>
      <c r="E24" s="210" t="s">
        <v>147</v>
      </c>
      <c r="F24" s="239" t="s">
        <v>34</v>
      </c>
      <c r="G24" s="123" t="s">
        <v>114</v>
      </c>
      <c r="H24" s="240">
        <v>68.97</v>
      </c>
      <c r="I24" s="241">
        <f t="shared" si="8"/>
        <v>742.39307999999994</v>
      </c>
      <c r="J24" s="225">
        <v>58.38</v>
      </c>
      <c r="K24" s="170">
        <f t="shared" si="2"/>
        <v>628</v>
      </c>
      <c r="L24" s="225">
        <v>2.4300000000000002</v>
      </c>
      <c r="M24" s="170">
        <f t="shared" si="3"/>
        <v>26</v>
      </c>
      <c r="N24" s="259">
        <v>59.64</v>
      </c>
      <c r="O24" s="170">
        <f t="shared" si="9"/>
        <v>641.96496000000002</v>
      </c>
      <c r="P24" s="224">
        <v>1.36</v>
      </c>
      <c r="Q24" s="246">
        <f t="shared" si="10"/>
        <v>15</v>
      </c>
      <c r="R24" s="163">
        <f t="shared" si="4"/>
        <v>0</v>
      </c>
      <c r="S24" s="168">
        <f t="shared" si="13"/>
        <v>0</v>
      </c>
      <c r="T24" s="163"/>
      <c r="U24" s="244">
        <f t="shared" si="5"/>
        <v>0</v>
      </c>
      <c r="V24" s="143"/>
      <c r="W24" s="143">
        <f t="shared" si="6"/>
        <v>0</v>
      </c>
      <c r="X24" s="120">
        <v>1</v>
      </c>
      <c r="Y24" s="166">
        <f t="shared" si="11"/>
        <v>654</v>
      </c>
      <c r="Z24" s="161">
        <f t="shared" si="12"/>
        <v>-654</v>
      </c>
    </row>
    <row r="25" spans="1:26" x14ac:dyDescent="0.35">
      <c r="B25" s="10">
        <f>B24+1</f>
        <v>8</v>
      </c>
      <c r="C25" s="255" t="s">
        <v>32</v>
      </c>
      <c r="D25" s="12">
        <v>8</v>
      </c>
      <c r="E25" s="209" t="s">
        <v>33</v>
      </c>
      <c r="F25" s="239" t="s">
        <v>36</v>
      </c>
      <c r="G25" s="123" t="s">
        <v>114</v>
      </c>
      <c r="H25" s="240">
        <v>94.48</v>
      </c>
      <c r="I25" s="241">
        <f t="shared" si="8"/>
        <v>1016.98272</v>
      </c>
      <c r="J25" s="225">
        <v>76.760000000000005</v>
      </c>
      <c r="K25" s="170">
        <f t="shared" si="2"/>
        <v>826</v>
      </c>
      <c r="L25" s="225">
        <v>4</v>
      </c>
      <c r="M25" s="170">
        <f t="shared" si="3"/>
        <v>43</v>
      </c>
      <c r="N25" s="259">
        <v>81.510000000000005</v>
      </c>
      <c r="O25" s="170">
        <f t="shared" si="9"/>
        <v>877.37364000000002</v>
      </c>
      <c r="P25" s="243">
        <v>0</v>
      </c>
      <c r="Q25" s="170">
        <f t="shared" si="10"/>
        <v>0</v>
      </c>
      <c r="R25" s="163">
        <f t="shared" si="4"/>
        <v>0</v>
      </c>
      <c r="S25" s="168">
        <f t="shared" si="13"/>
        <v>0</v>
      </c>
      <c r="T25" s="163"/>
      <c r="U25" s="244">
        <f t="shared" si="5"/>
        <v>0</v>
      </c>
      <c r="V25" s="143"/>
      <c r="W25" s="143">
        <f t="shared" si="6"/>
        <v>0</v>
      </c>
      <c r="X25" s="120">
        <v>1</v>
      </c>
      <c r="Y25" s="166">
        <f t="shared" si="11"/>
        <v>869</v>
      </c>
      <c r="Z25" s="161">
        <f t="shared" si="12"/>
        <v>-869</v>
      </c>
    </row>
    <row r="26" spans="1:26" x14ac:dyDescent="0.35">
      <c r="B26" s="10">
        <v>9</v>
      </c>
      <c r="C26" s="255" t="s">
        <v>32</v>
      </c>
      <c r="D26" s="12">
        <v>9</v>
      </c>
      <c r="E26" s="238" t="s">
        <v>37</v>
      </c>
      <c r="F26" s="239" t="s">
        <v>105</v>
      </c>
      <c r="G26" s="123" t="s">
        <v>114</v>
      </c>
      <c r="H26" s="240">
        <v>111.23</v>
      </c>
      <c r="I26" s="241">
        <f t="shared" si="8"/>
        <v>1197.27972</v>
      </c>
      <c r="J26" s="225">
        <v>93.52</v>
      </c>
      <c r="K26" s="170">
        <f t="shared" si="2"/>
        <v>1007</v>
      </c>
      <c r="L26" s="225">
        <v>6.74</v>
      </c>
      <c r="M26" s="170">
        <f t="shared" si="3"/>
        <v>73</v>
      </c>
      <c r="N26" s="261">
        <v>97.4</v>
      </c>
      <c r="O26" s="170">
        <f t="shared" si="9"/>
        <v>1048.4136000000001</v>
      </c>
      <c r="P26" s="243">
        <v>45.64</v>
      </c>
      <c r="Q26" s="170">
        <f t="shared" si="10"/>
        <v>491</v>
      </c>
      <c r="R26" s="163">
        <f t="shared" si="4"/>
        <v>0</v>
      </c>
      <c r="S26" s="168">
        <f t="shared" si="13"/>
        <v>0</v>
      </c>
      <c r="T26" s="163"/>
      <c r="U26" s="244">
        <f t="shared" si="5"/>
        <v>0</v>
      </c>
      <c r="V26" s="143"/>
      <c r="W26" s="143">
        <f t="shared" si="6"/>
        <v>0</v>
      </c>
      <c r="X26" s="120">
        <v>1</v>
      </c>
      <c r="Y26" s="166">
        <f t="shared" si="11"/>
        <v>1080</v>
      </c>
      <c r="Z26" s="161">
        <f t="shared" si="12"/>
        <v>-1080</v>
      </c>
    </row>
    <row r="27" spans="1:26" x14ac:dyDescent="0.35">
      <c r="B27" s="10">
        <v>10</v>
      </c>
      <c r="C27" s="255" t="s">
        <v>32</v>
      </c>
      <c r="D27" s="12">
        <v>10</v>
      </c>
      <c r="E27" s="238" t="s">
        <v>33</v>
      </c>
      <c r="F27" s="239" t="s">
        <v>34</v>
      </c>
      <c r="G27" s="123" t="s">
        <v>114</v>
      </c>
      <c r="H27" s="240">
        <v>94.02</v>
      </c>
      <c r="I27" s="241">
        <f t="shared" si="8"/>
        <v>1012.0312799999999</v>
      </c>
      <c r="J27" s="225">
        <v>79.81</v>
      </c>
      <c r="K27" s="170">
        <f t="shared" si="2"/>
        <v>859</v>
      </c>
      <c r="L27" s="225">
        <v>4</v>
      </c>
      <c r="M27" s="170">
        <f t="shared" si="3"/>
        <v>43</v>
      </c>
      <c r="N27" s="259">
        <v>81.62</v>
      </c>
      <c r="O27" s="170">
        <f t="shared" si="9"/>
        <v>878.55768</v>
      </c>
      <c r="P27" s="243">
        <v>27.1</v>
      </c>
      <c r="Q27" s="170">
        <f t="shared" si="10"/>
        <v>292</v>
      </c>
      <c r="R27" s="163">
        <f t="shared" si="4"/>
        <v>0</v>
      </c>
      <c r="S27" s="168">
        <f t="shared" si="13"/>
        <v>0</v>
      </c>
      <c r="T27" s="163"/>
      <c r="U27" s="244">
        <f t="shared" si="5"/>
        <v>0</v>
      </c>
      <c r="V27" s="143"/>
      <c r="W27" s="143">
        <f t="shared" si="6"/>
        <v>0</v>
      </c>
      <c r="X27" s="120">
        <v>1</v>
      </c>
      <c r="Y27" s="166">
        <f t="shared" si="11"/>
        <v>902</v>
      </c>
      <c r="Z27" s="161">
        <f t="shared" si="12"/>
        <v>-902</v>
      </c>
    </row>
    <row r="28" spans="1:26" x14ac:dyDescent="0.35">
      <c r="B28" s="10">
        <v>11</v>
      </c>
      <c r="C28" s="254" t="s">
        <v>101</v>
      </c>
      <c r="D28" s="12">
        <v>1</v>
      </c>
      <c r="E28" s="210" t="s">
        <v>35</v>
      </c>
      <c r="F28" s="239" t="s">
        <v>34</v>
      </c>
      <c r="G28" s="123" t="s">
        <v>115</v>
      </c>
      <c r="H28" s="240">
        <v>72.17</v>
      </c>
      <c r="I28" s="241">
        <f t="shared" si="8"/>
        <v>776.83787999999993</v>
      </c>
      <c r="J28" s="225">
        <v>61.09</v>
      </c>
      <c r="K28" s="170">
        <f t="shared" si="2"/>
        <v>658</v>
      </c>
      <c r="L28" s="225">
        <v>2.4300000000000002</v>
      </c>
      <c r="M28" s="170">
        <f t="shared" si="3"/>
        <v>26</v>
      </c>
      <c r="N28" s="259">
        <v>62.28</v>
      </c>
      <c r="O28" s="170">
        <f t="shared" si="9"/>
        <v>670.38191999999992</v>
      </c>
      <c r="P28" s="243">
        <v>0</v>
      </c>
      <c r="Q28" s="170">
        <f t="shared" ref="Q28:Q44" si="14">ROUND(P28*$T$2,0)</f>
        <v>0</v>
      </c>
      <c r="R28" s="163">
        <f t="shared" si="4"/>
        <v>0</v>
      </c>
      <c r="S28" s="168">
        <f t="shared" si="13"/>
        <v>0</v>
      </c>
      <c r="T28" s="163"/>
      <c r="U28" s="244">
        <f t="shared" si="5"/>
        <v>0</v>
      </c>
      <c r="V28" s="143"/>
      <c r="W28" s="143">
        <f t="shared" si="6"/>
        <v>0</v>
      </c>
      <c r="X28" s="120">
        <v>1</v>
      </c>
      <c r="Y28" s="166">
        <f t="shared" si="11"/>
        <v>684</v>
      </c>
      <c r="Z28" s="161">
        <f t="shared" si="12"/>
        <v>-684</v>
      </c>
    </row>
    <row r="29" spans="1:26" x14ac:dyDescent="0.35">
      <c r="B29" s="10">
        <f t="shared" ref="B29:B44" si="15">B28+1</f>
        <v>12</v>
      </c>
      <c r="C29" s="254" t="s">
        <v>101</v>
      </c>
      <c r="D29" s="12">
        <v>2</v>
      </c>
      <c r="E29" s="208" t="s">
        <v>35</v>
      </c>
      <c r="F29" s="239" t="s">
        <v>34</v>
      </c>
      <c r="G29" s="123" t="s">
        <v>115</v>
      </c>
      <c r="H29" s="240">
        <v>72.17</v>
      </c>
      <c r="I29" s="241">
        <f t="shared" si="8"/>
        <v>776.83787999999993</v>
      </c>
      <c r="J29" s="225">
        <v>61.09</v>
      </c>
      <c r="K29" s="170">
        <f t="shared" si="2"/>
        <v>658</v>
      </c>
      <c r="L29" s="225">
        <v>2.4300000000000002</v>
      </c>
      <c r="M29" s="170">
        <f t="shared" si="3"/>
        <v>26</v>
      </c>
      <c r="N29" s="259">
        <v>62.28</v>
      </c>
      <c r="O29" s="170">
        <f t="shared" si="9"/>
        <v>670.38191999999992</v>
      </c>
      <c r="P29" s="243">
        <v>0</v>
      </c>
      <c r="Q29" s="170">
        <f t="shared" si="14"/>
        <v>0</v>
      </c>
      <c r="R29" s="163">
        <f t="shared" si="4"/>
        <v>0</v>
      </c>
      <c r="S29" s="168">
        <f t="shared" si="13"/>
        <v>0</v>
      </c>
      <c r="T29" s="163"/>
      <c r="U29" s="244">
        <f t="shared" si="5"/>
        <v>0</v>
      </c>
      <c r="V29" s="143"/>
      <c r="W29" s="143">
        <f t="shared" si="6"/>
        <v>0</v>
      </c>
      <c r="X29" s="120">
        <v>1</v>
      </c>
      <c r="Y29" s="166">
        <f t="shared" si="11"/>
        <v>684</v>
      </c>
      <c r="Z29" s="161">
        <f t="shared" si="12"/>
        <v>-684</v>
      </c>
    </row>
    <row r="30" spans="1:26" x14ac:dyDescent="0.35">
      <c r="B30" s="10">
        <f t="shared" si="15"/>
        <v>13</v>
      </c>
      <c r="C30" s="254" t="s">
        <v>101</v>
      </c>
      <c r="D30" s="12">
        <v>3</v>
      </c>
      <c r="E30" s="210" t="s">
        <v>148</v>
      </c>
      <c r="F30" s="239" t="s">
        <v>36</v>
      </c>
      <c r="G30" s="123" t="s">
        <v>115</v>
      </c>
      <c r="H30" s="240">
        <v>94.5</v>
      </c>
      <c r="I30" s="241">
        <f t="shared" si="8"/>
        <v>1017.198</v>
      </c>
      <c r="J30" s="225">
        <v>79.760000000000005</v>
      </c>
      <c r="K30" s="170">
        <f t="shared" si="2"/>
        <v>859</v>
      </c>
      <c r="L30" s="225">
        <v>3.99</v>
      </c>
      <c r="M30" s="170">
        <f t="shared" si="3"/>
        <v>43</v>
      </c>
      <c r="N30" s="259">
        <v>81.45</v>
      </c>
      <c r="O30" s="170">
        <f t="shared" si="9"/>
        <v>876.7278</v>
      </c>
      <c r="P30" s="243">
        <v>0</v>
      </c>
      <c r="Q30" s="170">
        <f t="shared" si="14"/>
        <v>0</v>
      </c>
      <c r="R30" s="163">
        <f t="shared" si="4"/>
        <v>0</v>
      </c>
      <c r="S30" s="168">
        <f t="shared" si="13"/>
        <v>0</v>
      </c>
      <c r="T30" s="163"/>
      <c r="U30" s="244">
        <f t="shared" si="5"/>
        <v>0</v>
      </c>
      <c r="V30" s="143"/>
      <c r="W30" s="143">
        <f t="shared" si="6"/>
        <v>0</v>
      </c>
      <c r="X30" s="120">
        <v>1</v>
      </c>
      <c r="Y30" s="166">
        <f t="shared" si="11"/>
        <v>902</v>
      </c>
      <c r="Z30" s="161">
        <f t="shared" si="12"/>
        <v>-902</v>
      </c>
    </row>
    <row r="31" spans="1:26" x14ac:dyDescent="0.35">
      <c r="B31" s="10">
        <f t="shared" si="15"/>
        <v>14</v>
      </c>
      <c r="C31" s="254" t="s">
        <v>101</v>
      </c>
      <c r="D31" s="12">
        <v>4</v>
      </c>
      <c r="E31" s="208" t="s">
        <v>33</v>
      </c>
      <c r="F31" s="239" t="s">
        <v>36</v>
      </c>
      <c r="G31" s="123" t="s">
        <v>115</v>
      </c>
      <c r="H31" s="240">
        <v>94.51</v>
      </c>
      <c r="I31" s="241">
        <f t="shared" si="8"/>
        <v>1017.30564</v>
      </c>
      <c r="J31" s="225">
        <v>79.77</v>
      </c>
      <c r="K31" s="170">
        <f t="shared" si="2"/>
        <v>859</v>
      </c>
      <c r="L31" s="225">
        <v>3.99</v>
      </c>
      <c r="M31" s="170">
        <f t="shared" si="3"/>
        <v>43</v>
      </c>
      <c r="N31" s="259">
        <v>81.38</v>
      </c>
      <c r="O31" s="170">
        <f t="shared" si="9"/>
        <v>875.97431999999992</v>
      </c>
      <c r="P31" s="243">
        <v>2.72</v>
      </c>
      <c r="Q31" s="170">
        <f t="shared" si="14"/>
        <v>29</v>
      </c>
      <c r="R31" s="163">
        <f t="shared" si="4"/>
        <v>0</v>
      </c>
      <c r="S31" s="168">
        <f t="shared" ref="S31:S38" si="16">ROUND(R31*$T$2,0)</f>
        <v>0</v>
      </c>
      <c r="T31" s="163"/>
      <c r="U31" s="244">
        <f t="shared" si="5"/>
        <v>0</v>
      </c>
      <c r="V31" s="143"/>
      <c r="W31" s="143">
        <f t="shared" si="6"/>
        <v>0</v>
      </c>
      <c r="X31" s="120">
        <v>1</v>
      </c>
      <c r="Y31" s="166">
        <f t="shared" si="11"/>
        <v>902</v>
      </c>
      <c r="Z31" s="161">
        <f t="shared" si="12"/>
        <v>-902</v>
      </c>
    </row>
    <row r="32" spans="1:26" x14ac:dyDescent="0.35">
      <c r="B32" s="10">
        <f t="shared" si="15"/>
        <v>15</v>
      </c>
      <c r="C32" s="254" t="s">
        <v>101</v>
      </c>
      <c r="D32" s="12">
        <v>5</v>
      </c>
      <c r="E32" s="210" t="s">
        <v>147</v>
      </c>
      <c r="F32" s="239" t="s">
        <v>34</v>
      </c>
      <c r="G32" s="123" t="s">
        <v>115</v>
      </c>
      <c r="H32" s="240">
        <v>68.92</v>
      </c>
      <c r="I32" s="241">
        <f t="shared" si="8"/>
        <v>741.85487999999998</v>
      </c>
      <c r="J32" s="225">
        <v>58.38</v>
      </c>
      <c r="K32" s="170">
        <f t="shared" si="2"/>
        <v>628</v>
      </c>
      <c r="L32" s="225">
        <v>2.4300000000000002</v>
      </c>
      <c r="M32" s="170">
        <f t="shared" si="3"/>
        <v>26</v>
      </c>
      <c r="N32" s="261">
        <v>59.6</v>
      </c>
      <c r="O32" s="170">
        <f t="shared" si="9"/>
        <v>641.53440000000001</v>
      </c>
      <c r="P32" s="243">
        <v>0</v>
      </c>
      <c r="Q32" s="170">
        <f t="shared" si="14"/>
        <v>0</v>
      </c>
      <c r="R32" s="163">
        <f t="shared" si="4"/>
        <v>0</v>
      </c>
      <c r="S32" s="168">
        <f t="shared" si="16"/>
        <v>0</v>
      </c>
      <c r="T32" s="163"/>
      <c r="U32" s="244">
        <f t="shared" si="5"/>
        <v>0</v>
      </c>
      <c r="V32" s="143"/>
      <c r="W32" s="143">
        <f t="shared" si="6"/>
        <v>0</v>
      </c>
      <c r="X32" s="120">
        <v>1</v>
      </c>
      <c r="Y32" s="166">
        <f t="shared" si="11"/>
        <v>654</v>
      </c>
      <c r="Z32" s="161">
        <f t="shared" si="12"/>
        <v>-654</v>
      </c>
    </row>
    <row r="33" spans="2:26" x14ac:dyDescent="0.35">
      <c r="B33" s="10">
        <f t="shared" si="15"/>
        <v>16</v>
      </c>
      <c r="C33" s="254" t="s">
        <v>101</v>
      </c>
      <c r="D33" s="12">
        <v>6</v>
      </c>
      <c r="E33" s="210" t="s">
        <v>33</v>
      </c>
      <c r="F33" s="239" t="s">
        <v>105</v>
      </c>
      <c r="G33" s="123" t="s">
        <v>115</v>
      </c>
      <c r="H33" s="240">
        <v>94.47</v>
      </c>
      <c r="I33" s="241">
        <f t="shared" si="8"/>
        <v>1016.8750799999999</v>
      </c>
      <c r="J33" s="225">
        <v>80.02</v>
      </c>
      <c r="K33" s="170">
        <f t="shared" si="2"/>
        <v>861</v>
      </c>
      <c r="L33" s="225">
        <v>3.87</v>
      </c>
      <c r="M33" s="170">
        <f t="shared" si="3"/>
        <v>42</v>
      </c>
      <c r="N33" s="259">
        <v>81.760000000000005</v>
      </c>
      <c r="O33" s="170">
        <f t="shared" si="9"/>
        <v>880.06464000000005</v>
      </c>
      <c r="P33" s="243">
        <v>49.64</v>
      </c>
      <c r="Q33" s="170">
        <f t="shared" si="14"/>
        <v>534</v>
      </c>
      <c r="R33" s="163">
        <f t="shared" si="4"/>
        <v>0</v>
      </c>
      <c r="S33" s="168">
        <f t="shared" si="16"/>
        <v>0</v>
      </c>
      <c r="T33" s="163"/>
      <c r="U33" s="244">
        <f t="shared" si="5"/>
        <v>0</v>
      </c>
      <c r="V33" s="143"/>
      <c r="W33" s="143">
        <f t="shared" si="6"/>
        <v>0</v>
      </c>
      <c r="X33" s="120">
        <v>1</v>
      </c>
      <c r="Y33" s="166">
        <f t="shared" si="11"/>
        <v>903</v>
      </c>
      <c r="Z33" s="161">
        <f t="shared" si="12"/>
        <v>-903</v>
      </c>
    </row>
    <row r="34" spans="2:26" x14ac:dyDescent="0.35">
      <c r="B34" s="10">
        <f t="shared" si="15"/>
        <v>17</v>
      </c>
      <c r="C34" s="254" t="s">
        <v>101</v>
      </c>
      <c r="D34" s="12">
        <v>7</v>
      </c>
      <c r="E34" s="208" t="s">
        <v>37</v>
      </c>
      <c r="F34" s="239" t="s">
        <v>36</v>
      </c>
      <c r="G34" s="123" t="s">
        <v>115</v>
      </c>
      <c r="H34" s="240">
        <v>111.57</v>
      </c>
      <c r="I34" s="241">
        <f t="shared" si="8"/>
        <v>1200.9394799999998</v>
      </c>
      <c r="J34" s="225">
        <v>93.57</v>
      </c>
      <c r="K34" s="170">
        <f t="shared" si="2"/>
        <v>1007</v>
      </c>
      <c r="L34" s="225">
        <v>6.81</v>
      </c>
      <c r="M34" s="170">
        <f t="shared" si="3"/>
        <v>73</v>
      </c>
      <c r="N34" s="259">
        <v>97.04</v>
      </c>
      <c r="O34" s="170">
        <f t="shared" si="9"/>
        <v>1044.53856</v>
      </c>
      <c r="P34" s="243">
        <v>8.14</v>
      </c>
      <c r="Q34" s="170">
        <f t="shared" si="14"/>
        <v>88</v>
      </c>
      <c r="R34" s="163">
        <f t="shared" si="4"/>
        <v>0</v>
      </c>
      <c r="S34" s="168">
        <f t="shared" si="16"/>
        <v>0</v>
      </c>
      <c r="T34" s="163"/>
      <c r="U34" s="244">
        <f t="shared" si="5"/>
        <v>0</v>
      </c>
      <c r="V34" s="143"/>
      <c r="W34" s="143">
        <f t="shared" si="6"/>
        <v>0</v>
      </c>
      <c r="X34" s="120">
        <v>1</v>
      </c>
      <c r="Y34" s="166">
        <f t="shared" si="11"/>
        <v>1080</v>
      </c>
      <c r="Z34" s="161">
        <f t="shared" si="12"/>
        <v>-1080</v>
      </c>
    </row>
    <row r="35" spans="2:26" x14ac:dyDescent="0.35">
      <c r="B35" s="10">
        <f t="shared" si="15"/>
        <v>18</v>
      </c>
      <c r="C35" s="254" t="s">
        <v>101</v>
      </c>
      <c r="D35" s="12">
        <v>8</v>
      </c>
      <c r="E35" s="209" t="s">
        <v>37</v>
      </c>
      <c r="F35" s="239" t="s">
        <v>36</v>
      </c>
      <c r="G35" s="123" t="s">
        <v>115</v>
      </c>
      <c r="H35" s="240">
        <v>111.51</v>
      </c>
      <c r="I35" s="241">
        <f t="shared" si="8"/>
        <v>1200.2936399999999</v>
      </c>
      <c r="J35" s="225">
        <v>93.57</v>
      </c>
      <c r="K35" s="170">
        <f t="shared" si="2"/>
        <v>1007</v>
      </c>
      <c r="L35" s="225">
        <v>6.81</v>
      </c>
      <c r="M35" s="170">
        <f t="shared" si="3"/>
        <v>73</v>
      </c>
      <c r="N35" s="259">
        <v>97.04</v>
      </c>
      <c r="O35" s="170">
        <f t="shared" si="9"/>
        <v>1044.53856</v>
      </c>
      <c r="P35" s="243">
        <v>0</v>
      </c>
      <c r="Q35" s="170">
        <f t="shared" si="14"/>
        <v>0</v>
      </c>
      <c r="R35" s="163">
        <f t="shared" si="4"/>
        <v>0</v>
      </c>
      <c r="S35" s="168">
        <f t="shared" si="16"/>
        <v>0</v>
      </c>
      <c r="T35" s="163"/>
      <c r="U35" s="244">
        <f t="shared" si="5"/>
        <v>0</v>
      </c>
      <c r="V35" s="143"/>
      <c r="W35" s="143">
        <f t="shared" si="6"/>
        <v>0</v>
      </c>
      <c r="X35" s="120">
        <v>1</v>
      </c>
      <c r="Y35" s="166">
        <f t="shared" si="11"/>
        <v>1080</v>
      </c>
      <c r="Z35" s="161">
        <f t="shared" si="12"/>
        <v>-1080</v>
      </c>
    </row>
    <row r="36" spans="2:26" x14ac:dyDescent="0.35">
      <c r="B36" s="10">
        <f t="shared" si="15"/>
        <v>19</v>
      </c>
      <c r="C36" s="254" t="s">
        <v>101</v>
      </c>
      <c r="D36" s="12">
        <v>9</v>
      </c>
      <c r="E36" s="209" t="s">
        <v>37</v>
      </c>
      <c r="F36" s="239" t="s">
        <v>36</v>
      </c>
      <c r="G36" s="123" t="s">
        <v>115</v>
      </c>
      <c r="H36" s="240">
        <v>111.51</v>
      </c>
      <c r="I36" s="241">
        <f t="shared" si="8"/>
        <v>1200.2936399999999</v>
      </c>
      <c r="J36" s="225">
        <v>93.57</v>
      </c>
      <c r="K36" s="170">
        <f t="shared" si="2"/>
        <v>1007</v>
      </c>
      <c r="L36" s="225">
        <v>6.81</v>
      </c>
      <c r="M36" s="170">
        <f t="shared" si="3"/>
        <v>73</v>
      </c>
      <c r="N36" s="259">
        <v>97.04</v>
      </c>
      <c r="O36" s="170">
        <f t="shared" si="9"/>
        <v>1044.53856</v>
      </c>
      <c r="P36" s="243">
        <v>2.76</v>
      </c>
      <c r="Q36" s="170">
        <f t="shared" si="14"/>
        <v>30</v>
      </c>
      <c r="R36" s="163">
        <f t="shared" si="4"/>
        <v>0</v>
      </c>
      <c r="S36" s="168">
        <f t="shared" si="16"/>
        <v>0</v>
      </c>
      <c r="T36" s="163"/>
      <c r="U36" s="244">
        <f t="shared" si="5"/>
        <v>0</v>
      </c>
      <c r="V36" s="143"/>
      <c r="W36" s="143">
        <f t="shared" si="6"/>
        <v>0</v>
      </c>
      <c r="X36" s="120">
        <v>1</v>
      </c>
      <c r="Y36" s="166">
        <f t="shared" si="11"/>
        <v>1080</v>
      </c>
      <c r="Z36" s="161">
        <f t="shared" si="12"/>
        <v>-1080</v>
      </c>
    </row>
    <row r="37" spans="2:26" x14ac:dyDescent="0.35">
      <c r="B37" s="10">
        <f t="shared" si="15"/>
        <v>20</v>
      </c>
      <c r="C37" s="254" t="s">
        <v>101</v>
      </c>
      <c r="D37" s="12">
        <v>10</v>
      </c>
      <c r="E37" s="208" t="s">
        <v>147</v>
      </c>
      <c r="F37" s="239" t="s">
        <v>34</v>
      </c>
      <c r="G37" s="123" t="s">
        <v>115</v>
      </c>
      <c r="H37" s="240">
        <v>68.91</v>
      </c>
      <c r="I37" s="241">
        <f t="shared" si="8"/>
        <v>741.74723999999992</v>
      </c>
      <c r="J37" s="225">
        <v>58.38</v>
      </c>
      <c r="K37" s="170">
        <f t="shared" si="2"/>
        <v>628</v>
      </c>
      <c r="L37" s="225">
        <v>2.4300000000000002</v>
      </c>
      <c r="M37" s="170">
        <f t="shared" si="3"/>
        <v>26</v>
      </c>
      <c r="N37" s="259">
        <v>59.66</v>
      </c>
      <c r="O37" s="170">
        <f t="shared" si="9"/>
        <v>642.18023999999991</v>
      </c>
      <c r="P37" s="243">
        <v>4.0599999999999996</v>
      </c>
      <c r="Q37" s="170">
        <f t="shared" si="14"/>
        <v>44</v>
      </c>
      <c r="R37" s="163">
        <f t="shared" si="4"/>
        <v>0</v>
      </c>
      <c r="S37" s="168">
        <f t="shared" si="16"/>
        <v>0</v>
      </c>
      <c r="T37" s="163"/>
      <c r="U37" s="244">
        <f t="shared" si="5"/>
        <v>0</v>
      </c>
      <c r="V37" s="143"/>
      <c r="W37" s="143">
        <f t="shared" si="6"/>
        <v>0</v>
      </c>
      <c r="X37" s="120">
        <v>1</v>
      </c>
      <c r="Y37" s="166">
        <f t="shared" si="11"/>
        <v>654</v>
      </c>
      <c r="Z37" s="161">
        <f t="shared" si="12"/>
        <v>-654</v>
      </c>
    </row>
    <row r="38" spans="2:26" x14ac:dyDescent="0.35">
      <c r="B38" s="10">
        <f t="shared" si="15"/>
        <v>21</v>
      </c>
      <c r="C38" s="254" t="s">
        <v>101</v>
      </c>
      <c r="D38" s="12">
        <v>11</v>
      </c>
      <c r="E38" s="208" t="s">
        <v>147</v>
      </c>
      <c r="F38" s="239" t="s">
        <v>34</v>
      </c>
      <c r="G38" s="123" t="s">
        <v>115</v>
      </c>
      <c r="H38" s="240">
        <v>69.03</v>
      </c>
      <c r="I38" s="241">
        <f t="shared" si="8"/>
        <v>743.03891999999996</v>
      </c>
      <c r="J38" s="225">
        <v>58.38</v>
      </c>
      <c r="K38" s="170">
        <f t="shared" si="2"/>
        <v>628</v>
      </c>
      <c r="L38" s="225">
        <v>2.4300000000000002</v>
      </c>
      <c r="M38" s="170">
        <f t="shared" si="3"/>
        <v>26</v>
      </c>
      <c r="N38" s="259">
        <v>59.66</v>
      </c>
      <c r="O38" s="170">
        <f t="shared" si="9"/>
        <v>642.18023999999991</v>
      </c>
      <c r="P38" s="243">
        <v>0</v>
      </c>
      <c r="Q38" s="170">
        <f t="shared" si="14"/>
        <v>0</v>
      </c>
      <c r="R38" s="163">
        <f t="shared" si="4"/>
        <v>0</v>
      </c>
      <c r="S38" s="168">
        <f t="shared" si="16"/>
        <v>0</v>
      </c>
      <c r="T38" s="163"/>
      <c r="U38" s="244">
        <f t="shared" si="5"/>
        <v>0</v>
      </c>
      <c r="V38" s="143"/>
      <c r="W38" s="143">
        <f t="shared" si="6"/>
        <v>0</v>
      </c>
      <c r="X38" s="120">
        <v>1</v>
      </c>
      <c r="Y38" s="166">
        <f t="shared" si="11"/>
        <v>654</v>
      </c>
      <c r="Z38" s="161">
        <f t="shared" si="12"/>
        <v>-654</v>
      </c>
    </row>
    <row r="39" spans="2:26" x14ac:dyDescent="0.35">
      <c r="B39" s="10">
        <f t="shared" si="15"/>
        <v>22</v>
      </c>
      <c r="C39" s="254" t="s">
        <v>101</v>
      </c>
      <c r="D39" s="12">
        <v>12</v>
      </c>
      <c r="E39" s="208" t="s">
        <v>33</v>
      </c>
      <c r="F39" s="239" t="s">
        <v>34</v>
      </c>
      <c r="G39" s="123" t="s">
        <v>115</v>
      </c>
      <c r="H39" s="240">
        <v>94.27</v>
      </c>
      <c r="I39" s="241">
        <f t="shared" si="8"/>
        <v>1014.7222799999998</v>
      </c>
      <c r="J39" s="225">
        <v>79.81</v>
      </c>
      <c r="K39" s="170">
        <f t="shared" si="2"/>
        <v>859</v>
      </c>
      <c r="L39" s="225">
        <v>4</v>
      </c>
      <c r="M39" s="170">
        <f t="shared" si="3"/>
        <v>43</v>
      </c>
      <c r="N39" s="259">
        <v>81.73</v>
      </c>
      <c r="O39" s="170">
        <f t="shared" si="9"/>
        <v>879.74171999999999</v>
      </c>
      <c r="P39" s="243">
        <v>2.4</v>
      </c>
      <c r="Q39" s="170">
        <f t="shared" si="14"/>
        <v>26</v>
      </c>
      <c r="R39" s="163">
        <f t="shared" si="4"/>
        <v>0</v>
      </c>
      <c r="S39" s="168">
        <f t="shared" ref="S39:S44" si="17">ROUND(R39*$T$2,0)</f>
        <v>0</v>
      </c>
      <c r="T39" s="163"/>
      <c r="U39" s="244">
        <f t="shared" si="5"/>
        <v>0</v>
      </c>
      <c r="V39" s="143"/>
      <c r="W39" s="143">
        <f t="shared" si="6"/>
        <v>0</v>
      </c>
      <c r="X39" s="120">
        <v>1</v>
      </c>
      <c r="Y39" s="166">
        <f t="shared" si="11"/>
        <v>902</v>
      </c>
      <c r="Z39" s="161">
        <f t="shared" si="12"/>
        <v>-902</v>
      </c>
    </row>
    <row r="40" spans="2:26" x14ac:dyDescent="0.35">
      <c r="B40" s="10">
        <f t="shared" si="15"/>
        <v>23</v>
      </c>
      <c r="C40" s="254" t="s">
        <v>101</v>
      </c>
      <c r="D40" s="12">
        <v>13</v>
      </c>
      <c r="E40" s="210" t="s">
        <v>33</v>
      </c>
      <c r="F40" s="239" t="s">
        <v>34</v>
      </c>
      <c r="G40" s="123" t="s">
        <v>115</v>
      </c>
      <c r="H40" s="240">
        <v>94.13</v>
      </c>
      <c r="I40" s="241">
        <f t="shared" si="8"/>
        <v>1013.2153199999999</v>
      </c>
      <c r="J40" s="225">
        <v>79.64</v>
      </c>
      <c r="K40" s="170">
        <f t="shared" si="2"/>
        <v>857</v>
      </c>
      <c r="L40" s="225">
        <v>4</v>
      </c>
      <c r="M40" s="170">
        <f t="shared" si="3"/>
        <v>43</v>
      </c>
      <c r="N40" s="259">
        <v>81.44</v>
      </c>
      <c r="O40" s="170">
        <f t="shared" si="9"/>
        <v>876.62015999999994</v>
      </c>
      <c r="P40" s="243">
        <v>0</v>
      </c>
      <c r="Q40" s="170">
        <f t="shared" si="14"/>
        <v>0</v>
      </c>
      <c r="R40" s="163">
        <f t="shared" si="4"/>
        <v>0</v>
      </c>
      <c r="S40" s="168">
        <f t="shared" si="17"/>
        <v>0</v>
      </c>
      <c r="T40" s="163"/>
      <c r="U40" s="244">
        <f t="shared" si="5"/>
        <v>0</v>
      </c>
      <c r="V40" s="143"/>
      <c r="W40" s="143">
        <f t="shared" si="6"/>
        <v>0</v>
      </c>
      <c r="X40" s="120">
        <v>1</v>
      </c>
      <c r="Y40" s="166">
        <f t="shared" si="11"/>
        <v>900</v>
      </c>
      <c r="Z40" s="161">
        <f t="shared" si="12"/>
        <v>-900</v>
      </c>
    </row>
    <row r="41" spans="2:26" x14ac:dyDescent="0.35">
      <c r="B41" s="10">
        <f t="shared" si="15"/>
        <v>24</v>
      </c>
      <c r="C41" s="254" t="s">
        <v>101</v>
      </c>
      <c r="D41" s="12">
        <v>14</v>
      </c>
      <c r="E41" s="210" t="s">
        <v>37</v>
      </c>
      <c r="F41" s="239" t="s">
        <v>36</v>
      </c>
      <c r="G41" s="123" t="s">
        <v>115</v>
      </c>
      <c r="H41" s="240">
        <v>111.57</v>
      </c>
      <c r="I41" s="241">
        <f t="shared" si="8"/>
        <v>1200.9394799999998</v>
      </c>
      <c r="J41" s="225">
        <v>93.57</v>
      </c>
      <c r="K41" s="170">
        <f t="shared" si="2"/>
        <v>1007</v>
      </c>
      <c r="L41" s="225">
        <v>6.81</v>
      </c>
      <c r="M41" s="170">
        <f t="shared" si="3"/>
        <v>73</v>
      </c>
      <c r="N41" s="261">
        <v>97.09</v>
      </c>
      <c r="O41" s="170">
        <f t="shared" si="9"/>
        <v>1045.0767599999999</v>
      </c>
      <c r="P41" s="243">
        <v>2.76</v>
      </c>
      <c r="Q41" s="170">
        <f>ROUND(P41*$T$2,0)</f>
        <v>30</v>
      </c>
      <c r="R41" s="163">
        <f t="shared" si="4"/>
        <v>0</v>
      </c>
      <c r="S41" s="168">
        <f t="shared" si="17"/>
        <v>0</v>
      </c>
      <c r="T41" s="163"/>
      <c r="U41" s="244">
        <f t="shared" si="5"/>
        <v>0</v>
      </c>
      <c r="V41" s="143"/>
      <c r="W41" s="143">
        <f t="shared" si="6"/>
        <v>0</v>
      </c>
      <c r="X41" s="120">
        <v>1</v>
      </c>
      <c r="Y41" s="166">
        <f t="shared" si="11"/>
        <v>1080</v>
      </c>
      <c r="Z41" s="161">
        <f t="shared" si="12"/>
        <v>-1080</v>
      </c>
    </row>
    <row r="42" spans="2:26" x14ac:dyDescent="0.35">
      <c r="B42" s="10">
        <f t="shared" si="15"/>
        <v>25</v>
      </c>
      <c r="C42" s="254" t="s">
        <v>101</v>
      </c>
      <c r="D42" s="12">
        <v>15</v>
      </c>
      <c r="E42" s="210" t="s">
        <v>37</v>
      </c>
      <c r="F42" s="239" t="s">
        <v>105</v>
      </c>
      <c r="G42" s="123" t="s">
        <v>115</v>
      </c>
      <c r="H42" s="240">
        <v>115.74</v>
      </c>
      <c r="I42" s="241">
        <f t="shared" si="8"/>
        <v>1245.8253599999998</v>
      </c>
      <c r="J42" s="225">
        <v>94.76</v>
      </c>
      <c r="K42" s="170">
        <f t="shared" si="2"/>
        <v>1020</v>
      </c>
      <c r="L42" s="225">
        <v>9.93</v>
      </c>
      <c r="M42" s="170">
        <f t="shared" si="3"/>
        <v>107</v>
      </c>
      <c r="N42" s="261">
        <v>101.66</v>
      </c>
      <c r="O42" s="170">
        <f t="shared" si="9"/>
        <v>1094.2682399999999</v>
      </c>
      <c r="P42" s="243">
        <v>62.21</v>
      </c>
      <c r="Q42" s="170">
        <f>ROUND(P42*$T$2,0)</f>
        <v>670</v>
      </c>
      <c r="R42" s="163">
        <f t="shared" si="4"/>
        <v>0</v>
      </c>
      <c r="S42" s="168">
        <f t="shared" si="17"/>
        <v>0</v>
      </c>
      <c r="T42" s="163"/>
      <c r="U42" s="244">
        <f t="shared" si="5"/>
        <v>0</v>
      </c>
      <c r="V42" s="143"/>
      <c r="W42" s="143">
        <f t="shared" si="6"/>
        <v>0</v>
      </c>
      <c r="X42" s="120">
        <v>1</v>
      </c>
      <c r="Y42" s="166">
        <f t="shared" si="11"/>
        <v>1127</v>
      </c>
      <c r="Z42" s="161">
        <f t="shared" si="12"/>
        <v>-1127</v>
      </c>
    </row>
    <row r="43" spans="2:26" x14ac:dyDescent="0.35">
      <c r="B43" s="10">
        <f t="shared" si="15"/>
        <v>26</v>
      </c>
      <c r="C43" s="254" t="s">
        <v>101</v>
      </c>
      <c r="D43" s="12">
        <v>16</v>
      </c>
      <c r="E43" s="209" t="s">
        <v>33</v>
      </c>
      <c r="F43" s="239" t="s">
        <v>105</v>
      </c>
      <c r="G43" s="123" t="s">
        <v>115</v>
      </c>
      <c r="H43" s="240">
        <v>94.6</v>
      </c>
      <c r="I43" s="241">
        <f t="shared" si="8"/>
        <v>1018.2743999999999</v>
      </c>
      <c r="J43" s="225">
        <v>80</v>
      </c>
      <c r="K43" s="170">
        <f t="shared" si="2"/>
        <v>861</v>
      </c>
      <c r="L43" s="225">
        <v>3.99</v>
      </c>
      <c r="M43" s="170">
        <f t="shared" si="3"/>
        <v>43</v>
      </c>
      <c r="N43" s="259">
        <v>81.86</v>
      </c>
      <c r="O43" s="170">
        <f t="shared" si="9"/>
        <v>881.14103999999998</v>
      </c>
      <c r="P43" s="243">
        <v>2.56</v>
      </c>
      <c r="Q43" s="170">
        <f t="shared" si="14"/>
        <v>28</v>
      </c>
      <c r="R43" s="163">
        <f t="shared" si="4"/>
        <v>0</v>
      </c>
      <c r="S43" s="168">
        <f t="shared" si="17"/>
        <v>0</v>
      </c>
      <c r="T43" s="163"/>
      <c r="U43" s="244">
        <f t="shared" si="5"/>
        <v>0</v>
      </c>
      <c r="V43" s="143"/>
      <c r="W43" s="143">
        <f t="shared" si="6"/>
        <v>0</v>
      </c>
      <c r="X43" s="120">
        <v>1</v>
      </c>
      <c r="Y43" s="166">
        <f t="shared" si="11"/>
        <v>904</v>
      </c>
      <c r="Z43" s="161">
        <f t="shared" si="12"/>
        <v>-904</v>
      </c>
    </row>
    <row r="44" spans="2:26" x14ac:dyDescent="0.35">
      <c r="B44" s="242">
        <f t="shared" si="15"/>
        <v>27</v>
      </c>
      <c r="C44" s="254" t="s">
        <v>101</v>
      </c>
      <c r="D44" s="154">
        <v>17</v>
      </c>
      <c r="E44" s="210" t="s">
        <v>33</v>
      </c>
      <c r="F44" s="239" t="s">
        <v>34</v>
      </c>
      <c r="G44" s="123" t="s">
        <v>115</v>
      </c>
      <c r="H44" s="240">
        <v>94.36</v>
      </c>
      <c r="I44" s="241">
        <f t="shared" si="8"/>
        <v>1015.6910399999999</v>
      </c>
      <c r="J44" s="225">
        <v>79.56</v>
      </c>
      <c r="K44" s="170">
        <f t="shared" si="2"/>
        <v>856</v>
      </c>
      <c r="L44" s="225">
        <v>4.12</v>
      </c>
      <c r="M44" s="170">
        <f t="shared" si="3"/>
        <v>44</v>
      </c>
      <c r="N44" s="259">
        <v>81.44</v>
      </c>
      <c r="O44" s="170">
        <f t="shared" si="9"/>
        <v>876.62015999999994</v>
      </c>
      <c r="P44" s="243">
        <v>53.79</v>
      </c>
      <c r="Q44" s="170">
        <f t="shared" si="14"/>
        <v>579</v>
      </c>
      <c r="R44" s="163">
        <f t="shared" si="4"/>
        <v>0</v>
      </c>
      <c r="S44" s="168">
        <f t="shared" si="17"/>
        <v>0</v>
      </c>
      <c r="T44" s="163"/>
      <c r="U44" s="244">
        <f t="shared" si="5"/>
        <v>0</v>
      </c>
      <c r="V44" s="143"/>
      <c r="W44" s="143">
        <f t="shared" si="6"/>
        <v>0</v>
      </c>
      <c r="X44" s="120">
        <v>1</v>
      </c>
      <c r="Y44" s="166">
        <f t="shared" si="11"/>
        <v>900</v>
      </c>
      <c r="Z44" s="161">
        <f t="shared" si="12"/>
        <v>-900</v>
      </c>
    </row>
    <row r="45" spans="2:26" ht="15" thickBot="1" x14ac:dyDescent="0.4">
      <c r="B45" s="10"/>
      <c r="J45" s="161"/>
      <c r="K45" s="161"/>
      <c r="L45" s="161"/>
      <c r="M45" s="161"/>
      <c r="N45" s="161"/>
      <c r="O45" s="161"/>
      <c r="P45" s="167"/>
      <c r="Q45" s="161"/>
      <c r="R45" s="161"/>
      <c r="S45" s="161"/>
      <c r="T45" s="161"/>
      <c r="U45" s="161"/>
    </row>
    <row r="46" spans="2:26" ht="15" thickBot="1" x14ac:dyDescent="0.4">
      <c r="B46" s="455" t="s">
        <v>16</v>
      </c>
      <c r="C46" s="456"/>
      <c r="D46" s="456"/>
      <c r="E46" s="15"/>
      <c r="F46" s="15"/>
      <c r="G46" s="15"/>
      <c r="H46" s="15">
        <f>SUM(H18:H44)</f>
        <v>2436.98</v>
      </c>
      <c r="I46" s="15">
        <f>SUM(I18:I44)</f>
        <v>26231.652719999995</v>
      </c>
      <c r="J46" s="164">
        <f t="shared" ref="J46:T46" si="18">SUM(J18:J45)</f>
        <v>2047.92</v>
      </c>
      <c r="K46" s="169">
        <f t="shared" si="18"/>
        <v>22041</v>
      </c>
      <c r="L46" s="164">
        <f t="shared" si="18"/>
        <v>119.60000000000001</v>
      </c>
      <c r="M46" s="169">
        <f t="shared" si="18"/>
        <v>1285</v>
      </c>
      <c r="N46" s="164">
        <f>SUM(N18:N45)</f>
        <v>2113.6</v>
      </c>
      <c r="O46" s="169">
        <f t="shared" si="18"/>
        <v>22750.790400000002</v>
      </c>
      <c r="P46" s="164">
        <f t="shared" si="18"/>
        <v>304.38</v>
      </c>
      <c r="Q46" s="164">
        <f t="shared" si="18"/>
        <v>3278.9524000000001</v>
      </c>
      <c r="R46" s="164">
        <f t="shared" si="18"/>
        <v>0</v>
      </c>
      <c r="S46" s="169">
        <f t="shared" si="18"/>
        <v>0</v>
      </c>
      <c r="T46" s="164">
        <f t="shared" si="18"/>
        <v>0</v>
      </c>
      <c r="U46" s="169">
        <f>SUM(U18:U44)</f>
        <v>0</v>
      </c>
      <c r="V46" s="164">
        <f>SUM(V18:V45)</f>
        <v>0</v>
      </c>
      <c r="W46" s="245">
        <f>SUM(W18:W45)</f>
        <v>0</v>
      </c>
    </row>
    <row r="48" spans="2:26" x14ac:dyDescent="0.35">
      <c r="G48" s="5" t="s">
        <v>150</v>
      </c>
      <c r="H48" s="5">
        <f>SUM(H18:H27)</f>
        <v>863.04000000000008</v>
      </c>
      <c r="N48" s="145" t="b">
        <f>ROUND(T46,0)=ROUND(J8,0)</f>
        <v>1</v>
      </c>
      <c r="O48" s="145"/>
      <c r="P48" s="145"/>
      <c r="Q48" s="145"/>
      <c r="R48" s="145">
        <f>U46-K8</f>
        <v>0</v>
      </c>
      <c r="U48" s="218"/>
    </row>
    <row r="49" spans="7:23" x14ac:dyDescent="0.35">
      <c r="G49" s="5" t="s">
        <v>151</v>
      </c>
      <c r="H49" s="5">
        <f>SUM(H28:H44)</f>
        <v>1573.9399999999998</v>
      </c>
      <c r="U49" s="218"/>
      <c r="W49" s="218"/>
    </row>
    <row r="50" spans="7:23" x14ac:dyDescent="0.35">
      <c r="W50" s="218"/>
    </row>
    <row r="59" spans="7:23" x14ac:dyDescent="0.35">
      <c r="P59" s="236"/>
    </row>
    <row r="61" spans="7:23" x14ac:dyDescent="0.35">
      <c r="P61" s="237"/>
    </row>
    <row r="62" spans="7:23" x14ac:dyDescent="0.35">
      <c r="P62" s="237"/>
    </row>
    <row r="63" spans="7:23" x14ac:dyDescent="0.35">
      <c r="P63" s="237"/>
    </row>
    <row r="64" spans="7:23" x14ac:dyDescent="0.35">
      <c r="P64" s="237"/>
    </row>
    <row r="65" spans="16:16" x14ac:dyDescent="0.35">
      <c r="P65" s="237"/>
    </row>
    <row r="66" spans="16:16" x14ac:dyDescent="0.35">
      <c r="P66" s="237"/>
    </row>
    <row r="67" spans="16:16" x14ac:dyDescent="0.35">
      <c r="P67" s="237"/>
    </row>
    <row r="68" spans="16:16" x14ac:dyDescent="0.35">
      <c r="P68" s="237"/>
    </row>
    <row r="69" spans="16:16" x14ac:dyDescent="0.35">
      <c r="P69" s="237"/>
    </row>
    <row r="70" spans="16:16" x14ac:dyDescent="0.35">
      <c r="P70" s="237"/>
    </row>
    <row r="71" spans="16:16" x14ac:dyDescent="0.35">
      <c r="P71" s="237"/>
    </row>
    <row r="1334" spans="23:23" x14ac:dyDescent="0.35">
      <c r="W1334" s="5" t="s">
        <v>144</v>
      </c>
    </row>
  </sheetData>
  <autoFilter ref="A16:Z44" xr:uid="{00000000-0009-0000-0000-000007000000}">
    <filterColumn colId="2" showButton="0"/>
    <filterColumn colId="9" showButton="0"/>
    <filterColumn colId="11" showButton="0"/>
    <filterColumn colId="13" showButton="0"/>
    <filterColumn colId="17" showButton="0"/>
    <filterColumn colId="19" showButton="0"/>
    <filterColumn colId="21" showButton="0"/>
  </autoFilter>
  <mergeCells count="35">
    <mergeCell ref="P16:Q16"/>
    <mergeCell ref="B8:C8"/>
    <mergeCell ref="D8:G8"/>
    <mergeCell ref="D9:G9"/>
    <mergeCell ref="D10:G10"/>
    <mergeCell ref="D11:G11"/>
    <mergeCell ref="B9:C9"/>
    <mergeCell ref="B10:C10"/>
    <mergeCell ref="B15:W15"/>
    <mergeCell ref="T16:U16"/>
    <mergeCell ref="V16:W16"/>
    <mergeCell ref="J16:K16"/>
    <mergeCell ref="L16:M16"/>
    <mergeCell ref="N16:O16"/>
    <mergeCell ref="R16:S16"/>
    <mergeCell ref="H16:I16"/>
    <mergeCell ref="B46:D46"/>
    <mergeCell ref="B11:C11"/>
    <mergeCell ref="B16:B17"/>
    <mergeCell ref="C16:D17"/>
    <mergeCell ref="B12:C12"/>
    <mergeCell ref="D12:G12"/>
    <mergeCell ref="G16:G17"/>
    <mergeCell ref="E16:E17"/>
    <mergeCell ref="F16:F17"/>
    <mergeCell ref="B7:C7"/>
    <mergeCell ref="B2:K2"/>
    <mergeCell ref="B4:C4"/>
    <mergeCell ref="B3:F3"/>
    <mergeCell ref="D4:G4"/>
    <mergeCell ref="D7:G7"/>
    <mergeCell ref="B5:C5"/>
    <mergeCell ref="D5:G5"/>
    <mergeCell ref="D6:G6"/>
    <mergeCell ref="B6:C6"/>
  </mergeCells>
  <pageMargins left="0.7" right="0.7" top="0.75" bottom="0.75" header="0.3" footer="0.3"/>
  <pageSetup paperSize="9" scale="10" orientation="landscape" r:id="rId1"/>
  <ignoredErrors>
    <ignoredError sqref="R42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8E03-60CE-420B-ABB6-0DBB0994C049}">
  <dimension ref="B1:P30"/>
  <sheetViews>
    <sheetView topLeftCell="B6" zoomScale="115" zoomScaleNormal="115" workbookViewId="0">
      <selection activeCell="G17" sqref="G17"/>
    </sheetView>
  </sheetViews>
  <sheetFormatPr defaultColWidth="9.1796875" defaultRowHeight="14.5" x14ac:dyDescent="0.35"/>
  <cols>
    <col min="1" max="2" width="9.1796875" style="263"/>
    <col min="3" max="3" width="33.54296875" style="263" customWidth="1"/>
    <col min="4" max="4" width="8.81640625" style="263" customWidth="1"/>
    <col min="5" max="5" width="10.453125" style="263" customWidth="1"/>
    <col min="6" max="6" width="10.1796875" style="263" customWidth="1"/>
    <col min="7" max="10" width="9.1796875" style="263"/>
    <col min="11" max="11" width="14.81640625" style="263" customWidth="1"/>
    <col min="12" max="12" width="12.08984375" style="263" customWidth="1"/>
    <col min="13" max="13" width="11.26953125" style="263" customWidth="1"/>
    <col min="14" max="14" width="7.36328125" style="263" customWidth="1"/>
    <col min="15" max="15" width="12.1796875" style="263" customWidth="1"/>
    <col min="16" max="16" width="14.1796875" style="263" customWidth="1"/>
    <col min="17" max="16384" width="9.1796875" style="263"/>
  </cols>
  <sheetData>
    <row r="1" spans="2:16" ht="15" thickBot="1" x14ac:dyDescent="0.4"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</row>
    <row r="2" spans="2:16" x14ac:dyDescent="0.35">
      <c r="B2" s="478" t="s">
        <v>167</v>
      </c>
      <c r="C2" s="478" t="s">
        <v>168</v>
      </c>
      <c r="D2" s="264" t="s">
        <v>169</v>
      </c>
      <c r="E2" s="478" t="s">
        <v>170</v>
      </c>
      <c r="F2" s="478" t="s">
        <v>171</v>
      </c>
      <c r="G2" s="262"/>
      <c r="H2" s="262"/>
      <c r="I2" s="473" t="s">
        <v>167</v>
      </c>
      <c r="J2" s="473" t="s">
        <v>382</v>
      </c>
      <c r="K2" s="473" t="s">
        <v>23</v>
      </c>
      <c r="L2" s="265" t="s">
        <v>172</v>
      </c>
      <c r="M2" s="473" t="s">
        <v>38</v>
      </c>
      <c r="N2" s="265" t="s">
        <v>173</v>
      </c>
      <c r="O2" s="473" t="s">
        <v>174</v>
      </c>
      <c r="P2" s="262"/>
    </row>
    <row r="3" spans="2:16" ht="15" thickBot="1" x14ac:dyDescent="0.4">
      <c r="B3" s="478"/>
      <c r="C3" s="478"/>
      <c r="D3" s="264" t="s">
        <v>175</v>
      </c>
      <c r="E3" s="478"/>
      <c r="F3" s="478"/>
      <c r="G3" s="262"/>
      <c r="H3" s="262"/>
      <c r="I3" s="474"/>
      <c r="J3" s="474"/>
      <c r="K3" s="474"/>
      <c r="L3" s="266" t="s">
        <v>176</v>
      </c>
      <c r="M3" s="474"/>
      <c r="N3" s="266" t="s">
        <v>177</v>
      </c>
      <c r="O3" s="474"/>
      <c r="P3" s="262"/>
    </row>
    <row r="4" spans="2:16" ht="15" thickBot="1" x14ac:dyDescent="0.4">
      <c r="B4" s="264"/>
      <c r="C4" s="264"/>
      <c r="D4" s="264"/>
      <c r="E4" s="264"/>
      <c r="F4" s="264"/>
      <c r="G4" s="262"/>
      <c r="H4" s="262"/>
      <c r="I4" s="301">
        <v>1</v>
      </c>
      <c r="J4" s="475" t="s">
        <v>383</v>
      </c>
      <c r="K4" s="301" t="s">
        <v>377</v>
      </c>
      <c r="L4" s="301" t="s">
        <v>378</v>
      </c>
      <c r="M4" s="301">
        <f>6*5</f>
        <v>30</v>
      </c>
      <c r="N4" s="303">
        <f>+M4/$M$12</f>
        <v>0.22222222222222221</v>
      </c>
      <c r="O4" s="301">
        <f>M4</f>
        <v>30</v>
      </c>
      <c r="P4" s="269"/>
    </row>
    <row r="5" spans="2:16" ht="15" thickBot="1" x14ac:dyDescent="0.4">
      <c r="B5" s="270">
        <v>1</v>
      </c>
      <c r="C5" s="271" t="s">
        <v>372</v>
      </c>
      <c r="D5" s="270"/>
      <c r="E5" s="272">
        <f>'DETAILED UNIT AREA TABULATION'!J6</f>
        <v>6522.3</v>
      </c>
      <c r="F5" s="272">
        <f t="shared" ref="F5:F7" si="0">E5*10.764</f>
        <v>70206.037199999992</v>
      </c>
      <c r="G5" s="273"/>
      <c r="H5" s="262"/>
      <c r="I5" s="301">
        <v>2</v>
      </c>
      <c r="J5" s="476"/>
      <c r="K5" s="301" t="s">
        <v>219</v>
      </c>
      <c r="L5" s="301" t="s">
        <v>379</v>
      </c>
      <c r="M5" s="301">
        <f>5*4</f>
        <v>20</v>
      </c>
      <c r="N5" s="303">
        <f>+M5/$M$12</f>
        <v>0.14814814814814814</v>
      </c>
      <c r="O5" s="301">
        <f t="shared" ref="O5:O7" si="1">M5</f>
        <v>20</v>
      </c>
      <c r="P5" s="269"/>
    </row>
    <row r="6" spans="2:16" ht="15" thickBot="1" x14ac:dyDescent="0.4">
      <c r="B6" s="270">
        <v>2</v>
      </c>
      <c r="C6" s="271" t="s">
        <v>178</v>
      </c>
      <c r="D6" s="270">
        <f>2</f>
        <v>2</v>
      </c>
      <c r="E6" s="272">
        <f>E5*2</f>
        <v>13044.6</v>
      </c>
      <c r="F6" s="272">
        <f t="shared" si="0"/>
        <v>140412.07439999998</v>
      </c>
      <c r="G6" s="262"/>
      <c r="H6" s="262"/>
      <c r="I6" s="301">
        <v>3</v>
      </c>
      <c r="J6" s="476"/>
      <c r="K6" s="301" t="s">
        <v>148</v>
      </c>
      <c r="L6" s="301" t="s">
        <v>380</v>
      </c>
      <c r="M6" s="301">
        <f>15+35</f>
        <v>50</v>
      </c>
      <c r="N6" s="303">
        <f>+M6/$M$12</f>
        <v>0.37037037037037035</v>
      </c>
      <c r="O6" s="301">
        <f t="shared" si="1"/>
        <v>50</v>
      </c>
      <c r="P6" s="269"/>
    </row>
    <row r="7" spans="2:16" ht="15" thickBot="1" x14ac:dyDescent="0.4">
      <c r="B7" s="270">
        <v>3</v>
      </c>
      <c r="C7" s="271" t="s">
        <v>179</v>
      </c>
      <c r="D7" s="274">
        <f>E7/E5</f>
        <v>2.1554666298698311</v>
      </c>
      <c r="E7" s="272">
        <v>14058.6</v>
      </c>
      <c r="F7" s="272">
        <f t="shared" si="0"/>
        <v>151326.77040000001</v>
      </c>
      <c r="G7" s="262"/>
      <c r="H7" s="262"/>
      <c r="I7" s="301">
        <v>4</v>
      </c>
      <c r="J7" s="477"/>
      <c r="K7" s="301" t="s">
        <v>223</v>
      </c>
      <c r="L7" s="301" t="s">
        <v>381</v>
      </c>
      <c r="M7" s="301">
        <v>35</v>
      </c>
      <c r="N7" s="303">
        <f>+M7/$M$12</f>
        <v>0.25925925925925924</v>
      </c>
      <c r="O7" s="301">
        <f t="shared" si="1"/>
        <v>35</v>
      </c>
      <c r="P7" s="269"/>
    </row>
    <row r="8" spans="2:16" x14ac:dyDescent="0.35">
      <c r="B8" s="270">
        <v>4</v>
      </c>
      <c r="C8" s="271" t="s">
        <v>180</v>
      </c>
      <c r="D8" s="275">
        <v>0</v>
      </c>
      <c r="E8" s="272">
        <v>0</v>
      </c>
      <c r="F8" s="272">
        <v>0</v>
      </c>
      <c r="G8" s="262"/>
      <c r="H8" s="262"/>
      <c r="I8" s="262"/>
      <c r="J8" s="262"/>
      <c r="K8" s="262"/>
      <c r="L8" s="262"/>
      <c r="M8" s="262"/>
      <c r="N8" s="304"/>
      <c r="O8" s="262"/>
      <c r="P8" s="269"/>
    </row>
    <row r="9" spans="2:16" ht="15" thickBot="1" x14ac:dyDescent="0.4">
      <c r="B9" s="270">
        <v>5</v>
      </c>
      <c r="C9" s="271" t="s">
        <v>375</v>
      </c>
      <c r="D9" s="270">
        <v>0</v>
      </c>
      <c r="E9" s="272">
        <f>SUM(STILT!G5:K5)</f>
        <v>429.22999999999996</v>
      </c>
      <c r="F9" s="272">
        <f>10.764*E9</f>
        <v>4620.2317199999989</v>
      </c>
      <c r="G9" s="262"/>
      <c r="H9" s="262"/>
      <c r="I9" s="262"/>
      <c r="J9" s="262"/>
      <c r="K9" s="262"/>
      <c r="L9" s="262"/>
      <c r="M9" s="262"/>
      <c r="N9" s="304"/>
      <c r="O9" s="262"/>
      <c r="P9" s="269"/>
    </row>
    <row r="10" spans="2:16" ht="15" thickBot="1" x14ac:dyDescent="0.4">
      <c r="B10" s="270">
        <v>6</v>
      </c>
      <c r="C10" s="271" t="s">
        <v>374</v>
      </c>
      <c r="D10" s="270"/>
      <c r="E10" s="272">
        <f>STILT!E5</f>
        <v>3298.03</v>
      </c>
      <c r="F10" s="272">
        <f>10.764*E10</f>
        <v>35499.994919999997</v>
      </c>
      <c r="G10" s="262"/>
      <c r="H10" s="262"/>
      <c r="I10" s="262"/>
      <c r="J10" s="262"/>
      <c r="K10" s="279" t="s">
        <v>186</v>
      </c>
      <c r="L10" s="268"/>
      <c r="M10" s="268"/>
      <c r="N10" s="305"/>
      <c r="O10" s="267">
        <v>11</v>
      </c>
      <c r="P10" s="269"/>
    </row>
    <row r="11" spans="2:16" ht="15" customHeight="1" thickBot="1" x14ac:dyDescent="0.4">
      <c r="B11" s="270">
        <v>7</v>
      </c>
      <c r="C11" s="271" t="s">
        <v>181</v>
      </c>
      <c r="D11" s="270"/>
      <c r="E11" s="272">
        <f>E10</f>
        <v>3298.03</v>
      </c>
      <c r="F11" s="272">
        <f>10.764*E11</f>
        <v>35499.994919999997</v>
      </c>
      <c r="G11" s="262"/>
      <c r="H11" s="262"/>
      <c r="I11" s="262"/>
      <c r="J11" s="262"/>
      <c r="K11" s="279"/>
      <c r="L11" s="279"/>
      <c r="M11" s="279"/>
      <c r="N11" s="306"/>
      <c r="O11" s="279"/>
      <c r="P11" s="269"/>
    </row>
    <row r="12" spans="2:16" ht="15" thickBot="1" x14ac:dyDescent="0.4">
      <c r="B12" s="270">
        <v>8</v>
      </c>
      <c r="C12" s="271" t="s">
        <v>182</v>
      </c>
      <c r="D12" s="270"/>
      <c r="E12" s="272">
        <f>SUM(RERA!K55+RERA!K142+STILT!F5+'COMMON AREA'!K9+'COMMON AREA'!K28+'COMMON AREA'!C17+'COMMON AREA'!C36)</f>
        <v>14658.215000000006</v>
      </c>
      <c r="F12" s="272">
        <f>10.764*E12</f>
        <v>157781.02626000004</v>
      </c>
      <c r="G12" s="262"/>
      <c r="H12" s="262"/>
      <c r="I12" s="262"/>
      <c r="J12" s="262"/>
      <c r="K12" s="280" t="s">
        <v>189</v>
      </c>
      <c r="L12" s="281"/>
      <c r="M12" s="282">
        <f>SUM(M4:M10)</f>
        <v>135</v>
      </c>
      <c r="N12" s="307">
        <f>SUM(N4:N10)</f>
        <v>1</v>
      </c>
      <c r="O12" s="282">
        <f>SUM(O4:O10)</f>
        <v>146</v>
      </c>
    </row>
    <row r="13" spans="2:16" x14ac:dyDescent="0.35">
      <c r="B13" s="270">
        <v>9</v>
      </c>
      <c r="C13" s="271" t="s">
        <v>376</v>
      </c>
      <c r="D13" s="270"/>
      <c r="E13" s="272">
        <f>'COMMON AREA'!G10+'COMMON AREA'!G29</f>
        <v>480.03999999999996</v>
      </c>
      <c r="F13" s="272">
        <f>E13*10.764</f>
        <v>5167.1505599999991</v>
      </c>
      <c r="G13" s="262"/>
      <c r="H13" s="262"/>
      <c r="I13" s="262"/>
      <c r="J13" s="262"/>
      <c r="K13" s="262"/>
      <c r="L13" s="262"/>
      <c r="M13" s="262"/>
      <c r="N13" s="262"/>
      <c r="O13" s="262"/>
    </row>
    <row r="14" spans="2:16" x14ac:dyDescent="0.35">
      <c r="B14" s="270">
        <v>10</v>
      </c>
      <c r="C14" s="271" t="s">
        <v>183</v>
      </c>
      <c r="D14" s="270"/>
      <c r="E14" s="272">
        <v>0</v>
      </c>
      <c r="F14" s="274">
        <v>0</v>
      </c>
      <c r="G14" s="262"/>
      <c r="H14" s="262"/>
      <c r="I14" s="262"/>
      <c r="J14" s="262"/>
    </row>
    <row r="15" spans="2:16" ht="26" x14ac:dyDescent="0.35">
      <c r="B15" s="270">
        <v>11</v>
      </c>
      <c r="C15" s="276" t="s">
        <v>184</v>
      </c>
      <c r="D15" s="277"/>
      <c r="E15" s="278">
        <f>E12</f>
        <v>14658.215000000006</v>
      </c>
      <c r="F15" s="278">
        <f>F12</f>
        <v>157781.02626000004</v>
      </c>
      <c r="G15" s="262"/>
      <c r="H15" s="262"/>
      <c r="I15" s="262"/>
      <c r="J15" s="262"/>
      <c r="K15" s="262"/>
      <c r="L15" s="262"/>
      <c r="M15" s="262"/>
      <c r="N15" s="262"/>
      <c r="O15" s="262"/>
      <c r="P15" s="262"/>
    </row>
    <row r="16" spans="2:16" x14ac:dyDescent="0.35">
      <c r="B16" s="270">
        <v>12</v>
      </c>
      <c r="C16" s="276" t="s">
        <v>185</v>
      </c>
      <c r="D16" s="277"/>
      <c r="E16" s="278">
        <f t="shared" ref="E16" si="2">F16/10.7639</f>
        <v>18385.645806817236</v>
      </c>
      <c r="F16" s="278">
        <f>+F15+F11+F9+F14</f>
        <v>197901.25290000005</v>
      </c>
      <c r="G16" s="262"/>
      <c r="H16" s="308"/>
      <c r="I16" s="262"/>
      <c r="J16" s="262"/>
      <c r="P16" s="262"/>
    </row>
    <row r="17" spans="2:16" x14ac:dyDescent="0.35">
      <c r="B17" s="270">
        <v>13</v>
      </c>
      <c r="C17" s="276" t="s">
        <v>187</v>
      </c>
      <c r="D17" s="277"/>
      <c r="E17" s="278">
        <f>RERA!I55+RERA!I142</f>
        <v>10564.124999999996</v>
      </c>
      <c r="F17" s="278">
        <f>10.764*E17</f>
        <v>113712.24149999996</v>
      </c>
      <c r="G17" s="262"/>
      <c r="H17" s="262"/>
      <c r="I17" s="262"/>
      <c r="J17" s="262"/>
      <c r="P17" s="262"/>
    </row>
    <row r="18" spans="2:16" x14ac:dyDescent="0.35">
      <c r="B18" s="270">
        <v>14</v>
      </c>
      <c r="C18" s="276" t="s">
        <v>188</v>
      </c>
      <c r="D18" s="277"/>
      <c r="E18" s="278">
        <f>RERA!O55+RERA!O142</f>
        <v>16188.349999999999</v>
      </c>
      <c r="F18" s="278">
        <f>10.764*E18</f>
        <v>174251.39939999997</v>
      </c>
      <c r="G18" s="262"/>
      <c r="H18" s="262"/>
      <c r="I18" s="262"/>
      <c r="J18" s="262"/>
      <c r="P18" s="262"/>
    </row>
    <row r="19" spans="2:16" x14ac:dyDescent="0.35">
      <c r="B19" s="270">
        <v>15</v>
      </c>
      <c r="C19" s="283" t="s">
        <v>190</v>
      </c>
      <c r="D19" s="270"/>
      <c r="E19" s="272"/>
      <c r="F19" s="270"/>
      <c r="G19" s="262"/>
      <c r="H19" s="262"/>
      <c r="I19" s="262"/>
      <c r="J19" s="262"/>
      <c r="K19" s="262"/>
      <c r="L19" s="262"/>
      <c r="M19" s="262"/>
      <c r="N19" s="262"/>
      <c r="O19" s="262"/>
      <c r="P19" s="262"/>
    </row>
    <row r="20" spans="2:16" x14ac:dyDescent="0.35">
      <c r="B20" s="270">
        <v>16</v>
      </c>
      <c r="C20" s="271" t="s">
        <v>191</v>
      </c>
      <c r="D20" s="274">
        <f>+F15/F18</f>
        <v>0.9054792489660779</v>
      </c>
      <c r="E20" s="270"/>
      <c r="F20" s="271"/>
      <c r="G20" s="262"/>
      <c r="H20" s="262"/>
      <c r="I20" s="262"/>
      <c r="J20" s="262"/>
      <c r="K20" s="262"/>
      <c r="L20" s="262"/>
      <c r="M20" s="262"/>
      <c r="N20" s="262"/>
      <c r="O20" s="262"/>
      <c r="P20" s="262"/>
    </row>
    <row r="21" spans="2:16" x14ac:dyDescent="0.35">
      <c r="B21" s="270">
        <v>17</v>
      </c>
      <c r="C21" s="271" t="s">
        <v>192</v>
      </c>
      <c r="D21" s="274">
        <f>F18/F7</f>
        <v>1.1514909023658113</v>
      </c>
      <c r="E21" s="270" t="s">
        <v>193</v>
      </c>
      <c r="F21" s="271"/>
      <c r="G21" s="262"/>
      <c r="H21" s="262"/>
      <c r="I21" s="262"/>
      <c r="J21" s="262"/>
      <c r="K21" s="262"/>
      <c r="L21" s="262"/>
      <c r="M21" s="262"/>
      <c r="N21" s="262"/>
      <c r="O21" s="262"/>
      <c r="P21" s="262"/>
    </row>
    <row r="22" spans="2:16" x14ac:dyDescent="0.35">
      <c r="B22" s="270">
        <v>18</v>
      </c>
      <c r="C22" s="271" t="s">
        <v>194</v>
      </c>
      <c r="D22" s="274">
        <f>F18/F17</f>
        <v>1.5323890999017904</v>
      </c>
      <c r="E22" s="270" t="s">
        <v>195</v>
      </c>
      <c r="F22" s="271"/>
      <c r="G22" s="262"/>
      <c r="H22" s="262"/>
      <c r="I22" s="262"/>
      <c r="J22" s="262"/>
      <c r="K22" s="262"/>
      <c r="L22" s="262"/>
      <c r="M22" s="262"/>
      <c r="N22" s="262"/>
      <c r="O22" s="262"/>
      <c r="P22" s="262"/>
    </row>
    <row r="23" spans="2:16" x14ac:dyDescent="0.35">
      <c r="B23" s="270">
        <v>19</v>
      </c>
      <c r="C23" s="271" t="s">
        <v>196</v>
      </c>
      <c r="D23" s="274">
        <f>F16/F18</f>
        <v>1.1357226029830099</v>
      </c>
      <c r="E23" s="270"/>
      <c r="F23" s="271"/>
      <c r="G23" s="262"/>
      <c r="H23" s="262"/>
      <c r="I23" s="262"/>
      <c r="J23" s="262"/>
      <c r="K23" s="262"/>
      <c r="L23" s="262"/>
      <c r="M23" s="262"/>
      <c r="N23" s="262"/>
      <c r="O23" s="262"/>
      <c r="P23" s="262"/>
    </row>
    <row r="24" spans="2:16" x14ac:dyDescent="0.35">
      <c r="B24" s="270">
        <v>20</v>
      </c>
      <c r="C24" s="271" t="s">
        <v>197</v>
      </c>
      <c r="D24" s="284">
        <v>2</v>
      </c>
      <c r="E24" s="271"/>
      <c r="F24" s="271"/>
      <c r="G24" s="262"/>
      <c r="H24" s="262"/>
      <c r="I24" s="262"/>
      <c r="J24" s="262"/>
      <c r="K24" s="262"/>
      <c r="L24" s="262"/>
      <c r="M24" s="262"/>
      <c r="N24" s="262"/>
      <c r="O24" s="262"/>
      <c r="P24" s="262"/>
    </row>
    <row r="25" spans="2:16" x14ac:dyDescent="0.35">
      <c r="B25" s="270">
        <v>21</v>
      </c>
      <c r="C25" s="271" t="s">
        <v>198</v>
      </c>
      <c r="D25" s="284">
        <f>+M12</f>
        <v>135</v>
      </c>
      <c r="E25" s="271"/>
      <c r="F25" s="271"/>
      <c r="G25" s="262"/>
      <c r="H25" s="262"/>
      <c r="I25" s="262"/>
      <c r="J25" s="262"/>
      <c r="K25" s="262"/>
      <c r="L25" s="262"/>
      <c r="M25" s="262"/>
      <c r="N25" s="262"/>
      <c r="O25" s="262"/>
      <c r="P25" s="262"/>
    </row>
    <row r="26" spans="2:16" x14ac:dyDescent="0.35">
      <c r="B26" s="270">
        <v>22</v>
      </c>
      <c r="C26" s="271" t="s">
        <v>199</v>
      </c>
      <c r="D26" s="270">
        <f>107+10</f>
        <v>117</v>
      </c>
      <c r="E26" s="271"/>
      <c r="F26" s="271"/>
      <c r="G26" s="262"/>
      <c r="H26" s="262"/>
      <c r="I26" s="262"/>
      <c r="J26" s="262"/>
      <c r="K26" s="262"/>
      <c r="L26" s="262"/>
      <c r="M26" s="262"/>
      <c r="N26" s="262"/>
      <c r="O26" s="262"/>
      <c r="P26" s="262"/>
    </row>
    <row r="27" spans="2:16" x14ac:dyDescent="0.35">
      <c r="B27" s="270">
        <v>23</v>
      </c>
      <c r="C27" s="271" t="s">
        <v>200</v>
      </c>
      <c r="D27" s="270">
        <f>28+1</f>
        <v>29</v>
      </c>
      <c r="E27" s="271"/>
      <c r="F27" s="271"/>
      <c r="G27" s="262"/>
      <c r="H27" s="262"/>
      <c r="I27" s="262"/>
      <c r="J27" s="262"/>
      <c r="K27" s="262"/>
      <c r="L27" s="262"/>
      <c r="M27" s="262"/>
      <c r="N27" s="262"/>
      <c r="O27" s="262"/>
      <c r="P27" s="262"/>
    </row>
    <row r="28" spans="2:16" x14ac:dyDescent="0.35">
      <c r="B28" s="270">
        <v>24</v>
      </c>
      <c r="C28" s="271" t="s">
        <v>201</v>
      </c>
      <c r="D28" s="302">
        <f>D26+D27</f>
        <v>146</v>
      </c>
      <c r="E28" s="271"/>
      <c r="F28" s="271"/>
      <c r="G28" s="262"/>
      <c r="H28" s="262"/>
      <c r="I28" s="262"/>
      <c r="J28" s="262"/>
      <c r="K28" s="262"/>
      <c r="L28" s="262"/>
      <c r="M28" s="262"/>
      <c r="N28" s="262"/>
      <c r="O28" s="262"/>
      <c r="P28" s="262"/>
    </row>
    <row r="29" spans="2:16" x14ac:dyDescent="0.35">
      <c r="B29" s="270">
        <v>25</v>
      </c>
      <c r="C29" s="271" t="s">
        <v>202</v>
      </c>
      <c r="D29" s="271"/>
      <c r="E29" s="284">
        <f>E11/D26</f>
        <v>28.1882905982906</v>
      </c>
      <c r="F29" s="284">
        <f>E29*10.764</f>
        <v>303.41876000000002</v>
      </c>
      <c r="G29" s="262"/>
      <c r="H29" s="262"/>
      <c r="I29" s="262"/>
      <c r="J29" s="262"/>
      <c r="K29" s="262"/>
      <c r="L29" s="262"/>
      <c r="M29" s="262"/>
      <c r="N29" s="262"/>
      <c r="O29" s="262"/>
      <c r="P29" s="262"/>
    </row>
    <row r="30" spans="2:16" x14ac:dyDescent="0.35">
      <c r="I30" s="262"/>
      <c r="J30" s="262"/>
      <c r="K30" s="262"/>
      <c r="L30" s="262"/>
      <c r="M30" s="262"/>
      <c r="N30" s="262"/>
      <c r="O30" s="262"/>
      <c r="P30" s="262"/>
    </row>
  </sheetData>
  <mergeCells count="10">
    <mergeCell ref="M2:M3"/>
    <mergeCell ref="O2:O3"/>
    <mergeCell ref="J2:J3"/>
    <mergeCell ref="J4:J7"/>
    <mergeCell ref="B2:B3"/>
    <mergeCell ref="C2:C3"/>
    <mergeCell ref="E2:E3"/>
    <mergeCell ref="F2:F3"/>
    <mergeCell ref="I2:I3"/>
    <mergeCell ref="K2:K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V397"/>
  <sheetViews>
    <sheetView showGridLines="0" zoomScaleNormal="100" workbookViewId="0">
      <selection activeCell="D5" sqref="D5"/>
    </sheetView>
  </sheetViews>
  <sheetFormatPr defaultColWidth="8.81640625" defaultRowHeight="14.5" x14ac:dyDescent="0.35"/>
  <cols>
    <col min="1" max="1" width="1.7265625" style="5" customWidth="1"/>
    <col min="2" max="2" width="5" style="5" bestFit="1" customWidth="1"/>
    <col min="3" max="3" width="33.81640625" style="5" bestFit="1" customWidth="1"/>
    <col min="4" max="4" width="5.7265625" style="13" bestFit="1" customWidth="1"/>
    <col min="5" max="5" width="8.7265625" style="5" customWidth="1"/>
    <col min="6" max="6" width="6.26953125" style="5" customWidth="1"/>
    <col min="7" max="7" width="11.453125" style="5" bestFit="1" customWidth="1"/>
    <col min="8" max="8" width="7.7265625" style="14" bestFit="1" customWidth="1"/>
    <col min="9" max="10" width="7.7265625" style="14" customWidth="1"/>
    <col min="11" max="11" width="12.7265625" style="5" bestFit="1" customWidth="1"/>
    <col min="12" max="12" width="6.54296875" style="5" bestFit="1" customWidth="1"/>
    <col min="13" max="13" width="5.1796875" style="5" bestFit="1" customWidth="1"/>
    <col min="14" max="14" width="10.54296875" style="1" bestFit="1" customWidth="1"/>
    <col min="15" max="15" width="2.26953125" style="5" customWidth="1"/>
    <col min="16" max="16" width="6.26953125" style="5" hidden="1" customWidth="1"/>
    <col min="17" max="17" width="15.1796875" style="1" bestFit="1" customWidth="1"/>
    <col min="18" max="19" width="12.26953125" style="1" bestFit="1" customWidth="1"/>
    <col min="20" max="20" width="14.7265625" style="1" bestFit="1" customWidth="1"/>
    <col min="21" max="21" width="10.7265625" style="1" customWidth="1"/>
    <col min="22" max="22" width="8.1796875" style="5" customWidth="1"/>
    <col min="23" max="16384" width="8.81640625" style="5"/>
  </cols>
  <sheetData>
    <row r="1" spans="2:22" ht="8.5" customHeight="1" thickBot="1" x14ac:dyDescent="0.4"/>
    <row r="2" spans="2:22" x14ac:dyDescent="0.35">
      <c r="B2" s="485" t="s">
        <v>62</v>
      </c>
      <c r="C2" s="486"/>
      <c r="D2" s="486"/>
      <c r="E2" s="486"/>
      <c r="F2" s="486"/>
      <c r="G2" s="486"/>
      <c r="H2" s="486"/>
      <c r="I2" s="486"/>
      <c r="J2" s="486"/>
      <c r="K2" s="486"/>
      <c r="L2" s="487">
        <v>43937</v>
      </c>
      <c r="M2" s="486"/>
      <c r="N2" s="488"/>
      <c r="Q2" s="479" t="s">
        <v>61</v>
      </c>
      <c r="R2" s="480"/>
      <c r="S2" s="480"/>
      <c r="T2" s="480"/>
      <c r="U2" s="480"/>
      <c r="V2" s="481"/>
    </row>
    <row r="3" spans="2:22" s="8" customFormat="1" ht="43.5" x14ac:dyDescent="0.35">
      <c r="B3" s="489" t="str">
        <f>'DETAILED UNIT AREA TABULATION'!B16</f>
        <v>S.no</v>
      </c>
      <c r="C3" s="490" t="str">
        <f>'DETAILED UNIT AREA TABULATION'!C16</f>
        <v>Unit No.</v>
      </c>
      <c r="D3" s="490" t="s">
        <v>38</v>
      </c>
      <c r="E3" s="490" t="str">
        <f>'DETAILED UNIT AREA TABULATION'!E16</f>
        <v>Typology</v>
      </c>
      <c r="F3" s="490" t="str">
        <f>'DETAILED UNIT AREA TABULATION'!F16</f>
        <v>Facing</v>
      </c>
      <c r="G3" s="16" t="str">
        <f>'DETAILED UNIT AREA TABULATION'!J16</f>
        <v>RERA Carpet area</v>
      </c>
      <c r="H3" s="17" t="str">
        <f>'DETAILED UNIT AREA TABULATION'!L16</f>
        <v>RERA Balcony area</v>
      </c>
      <c r="I3" s="17" t="s">
        <v>39</v>
      </c>
      <c r="J3" s="17" t="s">
        <v>98</v>
      </c>
      <c r="K3" s="18" t="str">
        <f>'DETAILED UNIT AREA TABULATION'!R16</f>
        <v>Proportionate common area</v>
      </c>
      <c r="L3" s="18" t="s">
        <v>40</v>
      </c>
      <c r="M3" s="18" t="s">
        <v>29</v>
      </c>
      <c r="N3" s="491" t="s">
        <v>69</v>
      </c>
      <c r="Q3" s="482" t="s">
        <v>60</v>
      </c>
      <c r="R3" s="483"/>
      <c r="S3" s="483"/>
      <c r="T3" s="483"/>
      <c r="U3" s="483"/>
      <c r="V3" s="484"/>
    </row>
    <row r="4" spans="2:22" s="1" customFormat="1" x14ac:dyDescent="0.35">
      <c r="B4" s="489"/>
      <c r="C4" s="490"/>
      <c r="D4" s="490"/>
      <c r="E4" s="490"/>
      <c r="F4" s="490"/>
      <c r="G4" s="19" t="s">
        <v>13</v>
      </c>
      <c r="H4" s="20" t="s">
        <v>13</v>
      </c>
      <c r="I4" s="20"/>
      <c r="J4" s="20"/>
      <c r="K4" s="19" t="s">
        <v>13</v>
      </c>
      <c r="L4" s="19" t="s">
        <v>13</v>
      </c>
      <c r="M4" s="19" t="s">
        <v>13</v>
      </c>
      <c r="N4" s="491"/>
      <c r="Q4" s="6" t="s">
        <v>64</v>
      </c>
      <c r="R4" s="55" t="s">
        <v>63</v>
      </c>
      <c r="S4" s="55" t="s">
        <v>65</v>
      </c>
      <c r="T4" s="55" t="s">
        <v>66</v>
      </c>
      <c r="U4" s="55" t="s">
        <v>67</v>
      </c>
      <c r="V4" s="55" t="s">
        <v>68</v>
      </c>
    </row>
    <row r="5" spans="2:22" s="1" customFormat="1" x14ac:dyDescent="0.35">
      <c r="B5" s="21" t="s">
        <v>41</v>
      </c>
      <c r="C5" s="22" t="s">
        <v>42</v>
      </c>
      <c r="D5" s="22">
        <f>COUNT(#REF!)</f>
        <v>0</v>
      </c>
      <c r="E5" s="6" t="e">
        <f>#REF!</f>
        <v>#REF!</v>
      </c>
      <c r="F5" s="6" t="e">
        <f>#REF!</f>
        <v>#REF!</v>
      </c>
      <c r="G5" s="6" t="e">
        <f>#REF!</f>
        <v>#REF!</v>
      </c>
      <c r="H5" s="23" t="e">
        <f>#REF!</f>
        <v>#REF!</v>
      </c>
      <c r="I5" s="23"/>
      <c r="J5" s="23" t="e">
        <f>G5+H5</f>
        <v>#REF!</v>
      </c>
      <c r="K5" s="23" t="e">
        <f>#REF!</f>
        <v>#REF!</v>
      </c>
      <c r="L5" s="23" t="e">
        <f>#REF!</f>
        <v>#REF!</v>
      </c>
      <c r="M5" s="23" t="e">
        <f>#REF!</f>
        <v>#REF!</v>
      </c>
      <c r="N5" s="24" t="e">
        <f>#REF!</f>
        <v>#REF!</v>
      </c>
      <c r="Q5" s="63" t="s">
        <v>58</v>
      </c>
      <c r="R5" s="6"/>
      <c r="S5" s="6"/>
      <c r="T5" s="6"/>
      <c r="U5" s="6"/>
      <c r="V5" s="6"/>
    </row>
    <row r="6" spans="2:22" x14ac:dyDescent="0.35">
      <c r="B6" s="21" t="s">
        <v>43</v>
      </c>
      <c r="C6" s="22" t="s">
        <v>44</v>
      </c>
      <c r="D6" s="22">
        <f>COUNT(#REF!)</f>
        <v>0</v>
      </c>
      <c r="E6" s="6" t="e">
        <f>#REF!</f>
        <v>#REF!</v>
      </c>
      <c r="F6" s="6" t="e">
        <f>#REF!</f>
        <v>#REF!</v>
      </c>
      <c r="G6" s="6" t="e">
        <f>#REF!</f>
        <v>#REF!</v>
      </c>
      <c r="H6" s="23" t="e">
        <f>#REF!</f>
        <v>#REF!</v>
      </c>
      <c r="I6" s="23" t="e">
        <f>#REF!</f>
        <v>#REF!</v>
      </c>
      <c r="J6" s="23" t="e">
        <f t="shared" ref="J6:J7" si="0">G6+H6</f>
        <v>#REF!</v>
      </c>
      <c r="K6" s="23" t="e">
        <f>#REF!</f>
        <v>#REF!</v>
      </c>
      <c r="L6" s="23" t="e">
        <f>#REF!</f>
        <v>#REF!</v>
      </c>
      <c r="M6" s="23" t="e">
        <f>#REF!</f>
        <v>#REF!</v>
      </c>
      <c r="N6" s="24" t="e">
        <f>#REF!</f>
        <v>#REF!</v>
      </c>
      <c r="Q6" s="63" t="s">
        <v>59</v>
      </c>
      <c r="R6" s="6"/>
      <c r="S6" s="6"/>
      <c r="T6" s="6"/>
      <c r="U6" s="6"/>
      <c r="V6" s="6"/>
    </row>
    <row r="7" spans="2:22" x14ac:dyDescent="0.35">
      <c r="B7" s="21" t="s">
        <v>45</v>
      </c>
      <c r="C7" s="22" t="s">
        <v>46</v>
      </c>
      <c r="D7" s="22">
        <f>COUNT(#REF!)</f>
        <v>0</v>
      </c>
      <c r="E7" s="6" t="e">
        <f>#REF!</f>
        <v>#REF!</v>
      </c>
      <c r="F7" s="6" t="e">
        <f>#REF!</f>
        <v>#REF!</v>
      </c>
      <c r="G7" s="6" t="e">
        <f>#REF!</f>
        <v>#REF!</v>
      </c>
      <c r="H7" s="23" t="e">
        <f>#REF!</f>
        <v>#REF!</v>
      </c>
      <c r="I7" s="23" t="e">
        <f>#REF!</f>
        <v>#REF!</v>
      </c>
      <c r="J7" s="23" t="e">
        <f t="shared" si="0"/>
        <v>#REF!</v>
      </c>
      <c r="K7" s="23" t="e">
        <f>#REF!</f>
        <v>#REF!</v>
      </c>
      <c r="L7" s="23" t="e">
        <f>#REF!</f>
        <v>#REF!</v>
      </c>
      <c r="M7" s="23" t="e">
        <f>#REF!</f>
        <v>#REF!</v>
      </c>
      <c r="N7" s="24" t="e">
        <f>#REF!</f>
        <v>#REF!</v>
      </c>
      <c r="Q7" s="63" t="s">
        <v>57</v>
      </c>
      <c r="R7" s="63" t="s">
        <v>56</v>
      </c>
      <c r="S7" s="63">
        <v>77</v>
      </c>
      <c r="T7" s="6"/>
      <c r="U7" s="6"/>
      <c r="V7" s="6"/>
    </row>
    <row r="8" spans="2:22" x14ac:dyDescent="0.35">
      <c r="B8" s="5" t="s">
        <v>47</v>
      </c>
      <c r="D8" s="5"/>
      <c r="H8" s="5"/>
      <c r="I8" s="5"/>
      <c r="J8" s="5"/>
    </row>
    <row r="9" spans="2:22" x14ac:dyDescent="0.35">
      <c r="D9" s="5"/>
    </row>
    <row r="15" spans="2:22" x14ac:dyDescent="0.35">
      <c r="D15" s="5"/>
    </row>
    <row r="16" spans="2:22" x14ac:dyDescent="0.35">
      <c r="D16" s="5"/>
    </row>
    <row r="17" spans="4:4" x14ac:dyDescent="0.35">
      <c r="D17" s="5"/>
    </row>
    <row r="18" spans="4:4" x14ac:dyDescent="0.35">
      <c r="D18" s="5"/>
    </row>
    <row r="19" spans="4:4" x14ac:dyDescent="0.35">
      <c r="D19" s="5"/>
    </row>
    <row r="20" spans="4:4" x14ac:dyDescent="0.35">
      <c r="D20" s="5"/>
    </row>
    <row r="21" spans="4:4" x14ac:dyDescent="0.35">
      <c r="D21" s="5"/>
    </row>
    <row r="22" spans="4:4" x14ac:dyDescent="0.35">
      <c r="D22" s="5"/>
    </row>
    <row r="23" spans="4:4" x14ac:dyDescent="0.35">
      <c r="D23" s="5"/>
    </row>
    <row r="24" spans="4:4" x14ac:dyDescent="0.35">
      <c r="D24" s="5"/>
    </row>
    <row r="25" spans="4:4" x14ac:dyDescent="0.35">
      <c r="D25" s="5"/>
    </row>
    <row r="26" spans="4:4" x14ac:dyDescent="0.35">
      <c r="D26" s="5"/>
    </row>
    <row r="27" spans="4:4" x14ac:dyDescent="0.35">
      <c r="D27" s="5"/>
    </row>
    <row r="28" spans="4:4" x14ac:dyDescent="0.35">
      <c r="D28" s="5"/>
    </row>
    <row r="29" spans="4:4" x14ac:dyDescent="0.35">
      <c r="D29" s="5"/>
    </row>
    <row r="30" spans="4:4" x14ac:dyDescent="0.35">
      <c r="D30" s="5"/>
    </row>
    <row r="31" spans="4:4" x14ac:dyDescent="0.35">
      <c r="D31" s="5"/>
    </row>
    <row r="32" spans="4:4" x14ac:dyDescent="0.35">
      <c r="D32" s="5"/>
    </row>
    <row r="33" spans="4:4" x14ac:dyDescent="0.35">
      <c r="D33" s="5"/>
    </row>
    <row r="34" spans="4:4" x14ac:dyDescent="0.35">
      <c r="D34" s="5"/>
    </row>
    <row r="35" spans="4:4" x14ac:dyDescent="0.35">
      <c r="D35" s="5"/>
    </row>
    <row r="36" spans="4:4" x14ac:dyDescent="0.35">
      <c r="D36" s="5"/>
    </row>
    <row r="37" spans="4:4" x14ac:dyDescent="0.35">
      <c r="D37" s="5"/>
    </row>
    <row r="38" spans="4:4" x14ac:dyDescent="0.35">
      <c r="D38" s="5"/>
    </row>
    <row r="39" spans="4:4" x14ac:dyDescent="0.35">
      <c r="D39" s="5"/>
    </row>
    <row r="40" spans="4:4" x14ac:dyDescent="0.35">
      <c r="D40" s="5"/>
    </row>
    <row r="41" spans="4:4" x14ac:dyDescent="0.35">
      <c r="D41" s="5"/>
    </row>
    <row r="42" spans="4:4" x14ac:dyDescent="0.35">
      <c r="D42" s="5"/>
    </row>
    <row r="43" spans="4:4" x14ac:dyDescent="0.35">
      <c r="D43" s="5"/>
    </row>
    <row r="44" spans="4:4" x14ac:dyDescent="0.35">
      <c r="D44" s="5"/>
    </row>
    <row r="45" spans="4:4" x14ac:dyDescent="0.35">
      <c r="D45" s="5"/>
    </row>
    <row r="46" spans="4:4" x14ac:dyDescent="0.35">
      <c r="D46" s="5"/>
    </row>
    <row r="47" spans="4:4" x14ac:dyDescent="0.35">
      <c r="D47" s="5"/>
    </row>
    <row r="48" spans="4:4" x14ac:dyDescent="0.35">
      <c r="D48" s="5"/>
    </row>
    <row r="49" spans="4:4" x14ac:dyDescent="0.35">
      <c r="D49" s="5"/>
    </row>
    <row r="50" spans="4:4" x14ac:dyDescent="0.35">
      <c r="D50" s="5"/>
    </row>
    <row r="51" spans="4:4" x14ac:dyDescent="0.35">
      <c r="D51" s="5"/>
    </row>
    <row r="52" spans="4:4" x14ac:dyDescent="0.35">
      <c r="D52" s="5"/>
    </row>
    <row r="53" spans="4:4" x14ac:dyDescent="0.35">
      <c r="D53" s="5"/>
    </row>
    <row r="54" spans="4:4" x14ac:dyDescent="0.35">
      <c r="D54" s="5"/>
    </row>
    <row r="55" spans="4:4" x14ac:dyDescent="0.35">
      <c r="D55" s="5"/>
    </row>
    <row r="56" spans="4:4" x14ac:dyDescent="0.35">
      <c r="D56" s="5"/>
    </row>
    <row r="57" spans="4:4" x14ac:dyDescent="0.35">
      <c r="D57" s="5"/>
    </row>
    <row r="58" spans="4:4" x14ac:dyDescent="0.35">
      <c r="D58" s="5"/>
    </row>
    <row r="59" spans="4:4" x14ac:dyDescent="0.35">
      <c r="D59" s="5"/>
    </row>
    <row r="60" spans="4:4" x14ac:dyDescent="0.35">
      <c r="D60" s="5"/>
    </row>
    <row r="61" spans="4:4" x14ac:dyDescent="0.35">
      <c r="D61" s="5"/>
    </row>
    <row r="62" spans="4:4" x14ac:dyDescent="0.35">
      <c r="D62" s="5"/>
    </row>
    <row r="63" spans="4:4" x14ac:dyDescent="0.35">
      <c r="D63" s="5"/>
    </row>
    <row r="64" spans="4:4" x14ac:dyDescent="0.35">
      <c r="D64" s="5"/>
    </row>
    <row r="65" spans="4:4" x14ac:dyDescent="0.35">
      <c r="D65" s="5"/>
    </row>
    <row r="66" spans="4:4" x14ac:dyDescent="0.35">
      <c r="D66" s="5"/>
    </row>
    <row r="67" spans="4:4" x14ac:dyDescent="0.35">
      <c r="D67" s="5"/>
    </row>
    <row r="68" spans="4:4" x14ac:dyDescent="0.35">
      <c r="D68" s="5"/>
    </row>
    <row r="69" spans="4:4" x14ac:dyDescent="0.35">
      <c r="D69" s="5"/>
    </row>
    <row r="70" spans="4:4" x14ac:dyDescent="0.35">
      <c r="D70" s="5"/>
    </row>
    <row r="71" spans="4:4" x14ac:dyDescent="0.35">
      <c r="D71" s="5"/>
    </row>
    <row r="72" spans="4:4" x14ac:dyDescent="0.35">
      <c r="D72" s="5"/>
    </row>
    <row r="73" spans="4:4" x14ac:dyDescent="0.35">
      <c r="D73" s="5"/>
    </row>
    <row r="74" spans="4:4" x14ac:dyDescent="0.35">
      <c r="D74" s="5"/>
    </row>
    <row r="75" spans="4:4" x14ac:dyDescent="0.35">
      <c r="D75" s="5"/>
    </row>
    <row r="76" spans="4:4" x14ac:dyDescent="0.35">
      <c r="D76" s="5"/>
    </row>
    <row r="77" spans="4:4" x14ac:dyDescent="0.35">
      <c r="D77" s="5"/>
    </row>
    <row r="78" spans="4:4" x14ac:dyDescent="0.35">
      <c r="D78" s="5"/>
    </row>
    <row r="79" spans="4:4" x14ac:dyDescent="0.35">
      <c r="D79" s="5"/>
    </row>
    <row r="80" spans="4:4" x14ac:dyDescent="0.35">
      <c r="D80" s="5"/>
    </row>
    <row r="81" spans="4:4" x14ac:dyDescent="0.35">
      <c r="D81" s="5"/>
    </row>
    <row r="82" spans="4:4" x14ac:dyDescent="0.35">
      <c r="D82" s="5"/>
    </row>
    <row r="83" spans="4:4" x14ac:dyDescent="0.35">
      <c r="D83" s="5"/>
    </row>
    <row r="84" spans="4:4" x14ac:dyDescent="0.35">
      <c r="D84" s="5"/>
    </row>
    <row r="85" spans="4:4" x14ac:dyDescent="0.35">
      <c r="D85" s="5"/>
    </row>
    <row r="86" spans="4:4" x14ac:dyDescent="0.35">
      <c r="D86" s="5"/>
    </row>
    <row r="87" spans="4:4" x14ac:dyDescent="0.35">
      <c r="D87" s="5"/>
    </row>
    <row r="88" spans="4:4" x14ac:dyDescent="0.35">
      <c r="D88" s="5"/>
    </row>
    <row r="89" spans="4:4" x14ac:dyDescent="0.35">
      <c r="D89" s="5"/>
    </row>
    <row r="90" spans="4:4" x14ac:dyDescent="0.35">
      <c r="D90" s="5"/>
    </row>
    <row r="91" spans="4:4" x14ac:dyDescent="0.35">
      <c r="D91" s="5"/>
    </row>
    <row r="92" spans="4:4" x14ac:dyDescent="0.35">
      <c r="D92" s="5"/>
    </row>
    <row r="93" spans="4:4" x14ac:dyDescent="0.35">
      <c r="D93" s="5"/>
    </row>
    <row r="94" spans="4:4" x14ac:dyDescent="0.35">
      <c r="D94" s="5"/>
    </row>
    <row r="95" spans="4:4" x14ac:dyDescent="0.35">
      <c r="D95" s="5"/>
    </row>
    <row r="96" spans="4:4" x14ac:dyDescent="0.35">
      <c r="D96" s="5"/>
    </row>
    <row r="97" spans="4:4" x14ac:dyDescent="0.35">
      <c r="D97" s="5"/>
    </row>
    <row r="98" spans="4:4" x14ac:dyDescent="0.35">
      <c r="D98" s="5"/>
    </row>
    <row r="99" spans="4:4" x14ac:dyDescent="0.35">
      <c r="D99" s="5"/>
    </row>
    <row r="100" spans="4:4" x14ac:dyDescent="0.35">
      <c r="D100" s="5"/>
    </row>
    <row r="101" spans="4:4" x14ac:dyDescent="0.35">
      <c r="D101" s="5"/>
    </row>
    <row r="102" spans="4:4" x14ac:dyDescent="0.35">
      <c r="D102" s="5"/>
    </row>
    <row r="103" spans="4:4" x14ac:dyDescent="0.35">
      <c r="D103" s="5"/>
    </row>
    <row r="104" spans="4:4" x14ac:dyDescent="0.35">
      <c r="D104" s="5"/>
    </row>
    <row r="105" spans="4:4" x14ac:dyDescent="0.35">
      <c r="D105" s="5"/>
    </row>
    <row r="106" spans="4:4" x14ac:dyDescent="0.35">
      <c r="D106" s="5"/>
    </row>
    <row r="107" spans="4:4" x14ac:dyDescent="0.35">
      <c r="D107" s="5"/>
    </row>
    <row r="108" spans="4:4" x14ac:dyDescent="0.35">
      <c r="D108" s="5"/>
    </row>
    <row r="109" spans="4:4" x14ac:dyDescent="0.35">
      <c r="D109" s="5"/>
    </row>
    <row r="110" spans="4:4" x14ac:dyDescent="0.35">
      <c r="D110" s="5"/>
    </row>
    <row r="111" spans="4:4" x14ac:dyDescent="0.35">
      <c r="D111" s="5"/>
    </row>
    <row r="112" spans="4:4" x14ac:dyDescent="0.35">
      <c r="D112" s="5"/>
    </row>
    <row r="113" spans="4:4" x14ac:dyDescent="0.35">
      <c r="D113" s="5"/>
    </row>
    <row r="114" spans="4:4" x14ac:dyDescent="0.35">
      <c r="D114" s="5"/>
    </row>
    <row r="115" spans="4:4" x14ac:dyDescent="0.35">
      <c r="D115" s="5"/>
    </row>
    <row r="116" spans="4:4" x14ac:dyDescent="0.35">
      <c r="D116" s="5"/>
    </row>
    <row r="117" spans="4:4" x14ac:dyDescent="0.35">
      <c r="D117" s="5"/>
    </row>
    <row r="118" spans="4:4" x14ac:dyDescent="0.35">
      <c r="D118" s="5"/>
    </row>
    <row r="119" spans="4:4" x14ac:dyDescent="0.35">
      <c r="D119" s="5"/>
    </row>
    <row r="120" spans="4:4" x14ac:dyDescent="0.35">
      <c r="D120" s="5"/>
    </row>
    <row r="121" spans="4:4" x14ac:dyDescent="0.35">
      <c r="D121" s="5"/>
    </row>
    <row r="122" spans="4:4" x14ac:dyDescent="0.35">
      <c r="D122" s="5"/>
    </row>
    <row r="123" spans="4:4" x14ac:dyDescent="0.35">
      <c r="D123" s="5"/>
    </row>
    <row r="124" spans="4:4" x14ac:dyDescent="0.35">
      <c r="D124" s="5"/>
    </row>
    <row r="125" spans="4:4" x14ac:dyDescent="0.35">
      <c r="D125" s="5"/>
    </row>
    <row r="126" spans="4:4" x14ac:dyDescent="0.35">
      <c r="D126" s="5"/>
    </row>
    <row r="127" spans="4:4" x14ac:dyDescent="0.35">
      <c r="D127" s="5"/>
    </row>
    <row r="128" spans="4:4" x14ac:dyDescent="0.35">
      <c r="D128" s="5"/>
    </row>
    <row r="129" spans="4:4" x14ac:dyDescent="0.35">
      <c r="D129" s="5"/>
    </row>
    <row r="130" spans="4:4" x14ac:dyDescent="0.35">
      <c r="D130" s="5"/>
    </row>
    <row r="131" spans="4:4" x14ac:dyDescent="0.35">
      <c r="D131" s="5"/>
    </row>
    <row r="132" spans="4:4" x14ac:dyDescent="0.35">
      <c r="D132" s="5"/>
    </row>
    <row r="133" spans="4:4" x14ac:dyDescent="0.35">
      <c r="D133" s="5"/>
    </row>
    <row r="134" spans="4:4" x14ac:dyDescent="0.35">
      <c r="D134" s="5"/>
    </row>
    <row r="135" spans="4:4" x14ac:dyDescent="0.35">
      <c r="D135" s="5"/>
    </row>
    <row r="136" spans="4:4" x14ac:dyDescent="0.35">
      <c r="D136" s="5"/>
    </row>
    <row r="137" spans="4:4" x14ac:dyDescent="0.35">
      <c r="D137" s="5"/>
    </row>
    <row r="138" spans="4:4" x14ac:dyDescent="0.35">
      <c r="D138" s="5"/>
    </row>
    <row r="139" spans="4:4" x14ac:dyDescent="0.35">
      <c r="D139" s="5"/>
    </row>
    <row r="140" spans="4:4" x14ac:dyDescent="0.35">
      <c r="D140" s="5"/>
    </row>
    <row r="141" spans="4:4" x14ac:dyDescent="0.35">
      <c r="D141" s="5"/>
    </row>
    <row r="142" spans="4:4" x14ac:dyDescent="0.35">
      <c r="D142" s="5"/>
    </row>
    <row r="143" spans="4:4" x14ac:dyDescent="0.35">
      <c r="D143" s="5"/>
    </row>
    <row r="144" spans="4:4" x14ac:dyDescent="0.35">
      <c r="D144" s="5"/>
    </row>
    <row r="145" spans="4:4" x14ac:dyDescent="0.35">
      <c r="D145" s="5"/>
    </row>
    <row r="146" spans="4:4" x14ac:dyDescent="0.35">
      <c r="D146" s="5"/>
    </row>
    <row r="147" spans="4:4" x14ac:dyDescent="0.35">
      <c r="D147" s="5"/>
    </row>
    <row r="148" spans="4:4" x14ac:dyDescent="0.35">
      <c r="D148" s="5"/>
    </row>
    <row r="149" spans="4:4" x14ac:dyDescent="0.35">
      <c r="D149" s="5"/>
    </row>
    <row r="150" spans="4:4" x14ac:dyDescent="0.35">
      <c r="D150" s="5"/>
    </row>
    <row r="151" spans="4:4" x14ac:dyDescent="0.35">
      <c r="D151" s="5"/>
    </row>
    <row r="152" spans="4:4" x14ac:dyDescent="0.35">
      <c r="D152" s="5"/>
    </row>
    <row r="153" spans="4:4" x14ac:dyDescent="0.35">
      <c r="D153" s="5"/>
    </row>
    <row r="154" spans="4:4" x14ac:dyDescent="0.35">
      <c r="D154" s="5"/>
    </row>
    <row r="155" spans="4:4" x14ac:dyDescent="0.35">
      <c r="D155" s="5"/>
    </row>
    <row r="156" spans="4:4" x14ac:dyDescent="0.35">
      <c r="D156" s="5"/>
    </row>
    <row r="157" spans="4:4" x14ac:dyDescent="0.35">
      <c r="D157" s="5"/>
    </row>
    <row r="158" spans="4:4" x14ac:dyDescent="0.35">
      <c r="D158" s="5"/>
    </row>
    <row r="159" spans="4:4" x14ac:dyDescent="0.35">
      <c r="D159" s="5"/>
    </row>
    <row r="160" spans="4:4" x14ac:dyDescent="0.35">
      <c r="D160" s="5"/>
    </row>
    <row r="161" spans="4:4" x14ac:dyDescent="0.35">
      <c r="D161" s="5"/>
    </row>
    <row r="162" spans="4:4" x14ac:dyDescent="0.35">
      <c r="D162" s="5"/>
    </row>
    <row r="163" spans="4:4" x14ac:dyDescent="0.35">
      <c r="D163" s="5"/>
    </row>
    <row r="164" spans="4:4" x14ac:dyDescent="0.35">
      <c r="D164" s="5"/>
    </row>
    <row r="165" spans="4:4" x14ac:dyDescent="0.35">
      <c r="D165" s="5"/>
    </row>
    <row r="166" spans="4:4" x14ac:dyDescent="0.35">
      <c r="D166" s="5"/>
    </row>
    <row r="167" spans="4:4" x14ac:dyDescent="0.35">
      <c r="D167" s="5"/>
    </row>
    <row r="168" spans="4:4" x14ac:dyDescent="0.35">
      <c r="D168" s="5"/>
    </row>
    <row r="169" spans="4:4" x14ac:dyDescent="0.35">
      <c r="D169" s="5"/>
    </row>
    <row r="170" spans="4:4" x14ac:dyDescent="0.35">
      <c r="D170" s="5"/>
    </row>
    <row r="171" spans="4:4" x14ac:dyDescent="0.35">
      <c r="D171" s="5"/>
    </row>
    <row r="172" spans="4:4" x14ac:dyDescent="0.35">
      <c r="D172" s="5"/>
    </row>
    <row r="173" spans="4:4" x14ac:dyDescent="0.35">
      <c r="D173" s="5"/>
    </row>
    <row r="174" spans="4:4" x14ac:dyDescent="0.35">
      <c r="D174" s="5"/>
    </row>
    <row r="175" spans="4:4" x14ac:dyDescent="0.35">
      <c r="D175" s="5"/>
    </row>
    <row r="176" spans="4:4" x14ac:dyDescent="0.35">
      <c r="D176" s="5"/>
    </row>
    <row r="177" spans="4:4" x14ac:dyDescent="0.35">
      <c r="D177" s="5"/>
    </row>
    <row r="178" spans="4:4" x14ac:dyDescent="0.35">
      <c r="D178" s="5"/>
    </row>
    <row r="179" spans="4:4" x14ac:dyDescent="0.35">
      <c r="D179" s="5"/>
    </row>
    <row r="180" spans="4:4" x14ac:dyDescent="0.35">
      <c r="D180" s="5"/>
    </row>
    <row r="181" spans="4:4" x14ac:dyDescent="0.35">
      <c r="D181" s="5"/>
    </row>
    <row r="182" spans="4:4" x14ac:dyDescent="0.35">
      <c r="D182" s="5"/>
    </row>
    <row r="183" spans="4:4" x14ac:dyDescent="0.35">
      <c r="D183" s="5"/>
    </row>
    <row r="184" spans="4:4" x14ac:dyDescent="0.35">
      <c r="D184" s="5"/>
    </row>
    <row r="185" spans="4:4" x14ac:dyDescent="0.35">
      <c r="D185" s="5"/>
    </row>
    <row r="186" spans="4:4" x14ac:dyDescent="0.35">
      <c r="D186" s="5"/>
    </row>
    <row r="187" spans="4:4" x14ac:dyDescent="0.35">
      <c r="D187" s="5"/>
    </row>
    <row r="188" spans="4:4" x14ac:dyDescent="0.35">
      <c r="D188" s="5"/>
    </row>
    <row r="189" spans="4:4" x14ac:dyDescent="0.35">
      <c r="D189" s="5"/>
    </row>
    <row r="190" spans="4:4" x14ac:dyDescent="0.35">
      <c r="D190" s="5"/>
    </row>
    <row r="191" spans="4:4" x14ac:dyDescent="0.35">
      <c r="D191" s="5"/>
    </row>
    <row r="192" spans="4:4" x14ac:dyDescent="0.35">
      <c r="D192" s="5"/>
    </row>
    <row r="193" spans="4:4" x14ac:dyDescent="0.35">
      <c r="D193" s="5"/>
    </row>
    <row r="194" spans="4:4" x14ac:dyDescent="0.35">
      <c r="D194" s="5"/>
    </row>
    <row r="195" spans="4:4" x14ac:dyDescent="0.35">
      <c r="D195" s="5"/>
    </row>
    <row r="196" spans="4:4" x14ac:dyDescent="0.35">
      <c r="D196" s="5"/>
    </row>
    <row r="197" spans="4:4" x14ac:dyDescent="0.35">
      <c r="D197" s="5"/>
    </row>
    <row r="198" spans="4:4" x14ac:dyDescent="0.35">
      <c r="D198" s="5"/>
    </row>
    <row r="199" spans="4:4" x14ac:dyDescent="0.35">
      <c r="D199" s="5"/>
    </row>
    <row r="200" spans="4:4" x14ac:dyDescent="0.35">
      <c r="D200" s="5"/>
    </row>
    <row r="201" spans="4:4" x14ac:dyDescent="0.35">
      <c r="D201" s="5"/>
    </row>
    <row r="202" spans="4:4" x14ac:dyDescent="0.35">
      <c r="D202" s="5"/>
    </row>
    <row r="203" spans="4:4" x14ac:dyDescent="0.35">
      <c r="D203" s="5"/>
    </row>
    <row r="204" spans="4:4" x14ac:dyDescent="0.35">
      <c r="D204" s="5"/>
    </row>
    <row r="205" spans="4:4" x14ac:dyDescent="0.35">
      <c r="D205" s="5"/>
    </row>
    <row r="206" spans="4:4" x14ac:dyDescent="0.35">
      <c r="D206" s="5"/>
    </row>
    <row r="207" spans="4:4" x14ac:dyDescent="0.35">
      <c r="D207" s="5"/>
    </row>
    <row r="208" spans="4:4" x14ac:dyDescent="0.35">
      <c r="D208" s="5"/>
    </row>
    <row r="209" spans="4:4" x14ac:dyDescent="0.35">
      <c r="D209" s="5"/>
    </row>
    <row r="210" spans="4:4" x14ac:dyDescent="0.35">
      <c r="D210" s="5"/>
    </row>
    <row r="211" spans="4:4" x14ac:dyDescent="0.35">
      <c r="D211" s="5"/>
    </row>
    <row r="212" spans="4:4" x14ac:dyDescent="0.35">
      <c r="D212" s="5"/>
    </row>
    <row r="213" spans="4:4" x14ac:dyDescent="0.35">
      <c r="D213" s="5"/>
    </row>
    <row r="214" spans="4:4" x14ac:dyDescent="0.35">
      <c r="D214" s="5"/>
    </row>
    <row r="215" spans="4:4" x14ac:dyDescent="0.35">
      <c r="D215" s="5"/>
    </row>
    <row r="216" spans="4:4" x14ac:dyDescent="0.35">
      <c r="D216" s="5"/>
    </row>
    <row r="217" spans="4:4" x14ac:dyDescent="0.35">
      <c r="D217" s="5"/>
    </row>
    <row r="218" spans="4:4" x14ac:dyDescent="0.35">
      <c r="D218" s="5"/>
    </row>
    <row r="219" spans="4:4" x14ac:dyDescent="0.35">
      <c r="D219" s="5"/>
    </row>
    <row r="220" spans="4:4" x14ac:dyDescent="0.35">
      <c r="D220" s="5"/>
    </row>
    <row r="221" spans="4:4" x14ac:dyDescent="0.35">
      <c r="D221" s="5"/>
    </row>
    <row r="222" spans="4:4" x14ac:dyDescent="0.35">
      <c r="D222" s="5"/>
    </row>
    <row r="223" spans="4:4" x14ac:dyDescent="0.35">
      <c r="D223" s="5"/>
    </row>
    <row r="224" spans="4:4" x14ac:dyDescent="0.35">
      <c r="D224" s="5"/>
    </row>
    <row r="225" spans="4:4" x14ac:dyDescent="0.35">
      <c r="D225" s="5"/>
    </row>
    <row r="226" spans="4:4" x14ac:dyDescent="0.35">
      <c r="D226" s="5"/>
    </row>
    <row r="227" spans="4:4" x14ac:dyDescent="0.35">
      <c r="D227" s="5"/>
    </row>
    <row r="228" spans="4:4" x14ac:dyDescent="0.35">
      <c r="D228" s="5"/>
    </row>
    <row r="229" spans="4:4" x14ac:dyDescent="0.35">
      <c r="D229" s="5"/>
    </row>
    <row r="230" spans="4:4" x14ac:dyDescent="0.35">
      <c r="D230" s="5"/>
    </row>
    <row r="231" spans="4:4" x14ac:dyDescent="0.35">
      <c r="D231" s="5"/>
    </row>
    <row r="232" spans="4:4" x14ac:dyDescent="0.35">
      <c r="D232" s="5"/>
    </row>
    <row r="233" spans="4:4" x14ac:dyDescent="0.35">
      <c r="D233" s="5"/>
    </row>
    <row r="234" spans="4:4" x14ac:dyDescent="0.35">
      <c r="D234" s="5"/>
    </row>
    <row r="235" spans="4:4" x14ac:dyDescent="0.35">
      <c r="D235" s="5"/>
    </row>
    <row r="236" spans="4:4" x14ac:dyDescent="0.35">
      <c r="D236" s="5"/>
    </row>
    <row r="237" spans="4:4" x14ac:dyDescent="0.35">
      <c r="D237" s="5"/>
    </row>
    <row r="238" spans="4:4" x14ac:dyDescent="0.35">
      <c r="D238" s="5"/>
    </row>
    <row r="239" spans="4:4" x14ac:dyDescent="0.35">
      <c r="D239" s="5"/>
    </row>
    <row r="240" spans="4:4" x14ac:dyDescent="0.35">
      <c r="D240" s="5"/>
    </row>
    <row r="241" spans="4:4" x14ac:dyDescent="0.35">
      <c r="D241" s="5"/>
    </row>
    <row r="242" spans="4:4" x14ac:dyDescent="0.35">
      <c r="D242" s="5"/>
    </row>
    <row r="243" spans="4:4" x14ac:dyDescent="0.35">
      <c r="D243" s="5"/>
    </row>
    <row r="244" spans="4:4" x14ac:dyDescent="0.35">
      <c r="D244" s="5"/>
    </row>
    <row r="245" spans="4:4" x14ac:dyDescent="0.35">
      <c r="D245" s="5"/>
    </row>
    <row r="246" spans="4:4" x14ac:dyDescent="0.35">
      <c r="D246" s="5"/>
    </row>
    <row r="247" spans="4:4" x14ac:dyDescent="0.35">
      <c r="D247" s="5"/>
    </row>
    <row r="248" spans="4:4" x14ac:dyDescent="0.35">
      <c r="D248" s="5"/>
    </row>
    <row r="249" spans="4:4" x14ac:dyDescent="0.35">
      <c r="D249" s="5"/>
    </row>
    <row r="250" spans="4:4" x14ac:dyDescent="0.35">
      <c r="D250" s="5"/>
    </row>
    <row r="251" spans="4:4" x14ac:dyDescent="0.35">
      <c r="D251" s="5"/>
    </row>
    <row r="252" spans="4:4" x14ac:dyDescent="0.35">
      <c r="D252" s="5"/>
    </row>
    <row r="253" spans="4:4" x14ac:dyDescent="0.35">
      <c r="D253" s="5"/>
    </row>
    <row r="254" spans="4:4" x14ac:dyDescent="0.35">
      <c r="D254" s="5"/>
    </row>
    <row r="255" spans="4:4" x14ac:dyDescent="0.35">
      <c r="D255" s="5"/>
    </row>
    <row r="256" spans="4:4" x14ac:dyDescent="0.35">
      <c r="D256" s="5"/>
    </row>
    <row r="257" spans="4:4" x14ac:dyDescent="0.35">
      <c r="D257" s="5"/>
    </row>
    <row r="258" spans="4:4" x14ac:dyDescent="0.35">
      <c r="D258" s="5"/>
    </row>
    <row r="259" spans="4:4" x14ac:dyDescent="0.35">
      <c r="D259" s="5"/>
    </row>
    <row r="260" spans="4:4" x14ac:dyDescent="0.35">
      <c r="D260" s="5"/>
    </row>
    <row r="261" spans="4:4" x14ac:dyDescent="0.35">
      <c r="D261" s="5"/>
    </row>
    <row r="262" spans="4:4" x14ac:dyDescent="0.35">
      <c r="D262" s="5"/>
    </row>
    <row r="263" spans="4:4" x14ac:dyDescent="0.35">
      <c r="D263" s="5"/>
    </row>
    <row r="264" spans="4:4" x14ac:dyDescent="0.35">
      <c r="D264" s="5"/>
    </row>
    <row r="265" spans="4:4" x14ac:dyDescent="0.35">
      <c r="D265" s="5"/>
    </row>
    <row r="266" spans="4:4" x14ac:dyDescent="0.35">
      <c r="D266" s="5"/>
    </row>
    <row r="267" spans="4:4" x14ac:dyDescent="0.35">
      <c r="D267" s="5"/>
    </row>
    <row r="268" spans="4:4" x14ac:dyDescent="0.35">
      <c r="D268" s="5"/>
    </row>
    <row r="269" spans="4:4" x14ac:dyDescent="0.35">
      <c r="D269" s="5"/>
    </row>
    <row r="270" spans="4:4" x14ac:dyDescent="0.35">
      <c r="D270" s="5"/>
    </row>
    <row r="271" spans="4:4" x14ac:dyDescent="0.35">
      <c r="D271" s="5"/>
    </row>
    <row r="272" spans="4:4" x14ac:dyDescent="0.35">
      <c r="D272" s="5"/>
    </row>
    <row r="273" spans="4:4" x14ac:dyDescent="0.35">
      <c r="D273" s="5"/>
    </row>
    <row r="274" spans="4:4" x14ac:dyDescent="0.35">
      <c r="D274" s="5"/>
    </row>
    <row r="275" spans="4:4" x14ac:dyDescent="0.35">
      <c r="D275" s="5"/>
    </row>
    <row r="276" spans="4:4" x14ac:dyDescent="0.35">
      <c r="D276" s="5"/>
    </row>
    <row r="277" spans="4:4" x14ac:dyDescent="0.35">
      <c r="D277" s="5"/>
    </row>
    <row r="278" spans="4:4" x14ac:dyDescent="0.35">
      <c r="D278" s="5"/>
    </row>
    <row r="279" spans="4:4" x14ac:dyDescent="0.35">
      <c r="D279" s="5"/>
    </row>
    <row r="280" spans="4:4" x14ac:dyDescent="0.35">
      <c r="D280" s="5"/>
    </row>
    <row r="281" spans="4:4" x14ac:dyDescent="0.35">
      <c r="D281" s="5"/>
    </row>
    <row r="282" spans="4:4" x14ac:dyDescent="0.35">
      <c r="D282" s="5"/>
    </row>
    <row r="283" spans="4:4" x14ac:dyDescent="0.35">
      <c r="D283" s="5"/>
    </row>
    <row r="284" spans="4:4" x14ac:dyDescent="0.35">
      <c r="D284" s="5"/>
    </row>
    <row r="285" spans="4:4" x14ac:dyDescent="0.35">
      <c r="D285" s="5"/>
    </row>
    <row r="286" spans="4:4" x14ac:dyDescent="0.35">
      <c r="D286" s="5"/>
    </row>
    <row r="287" spans="4:4" x14ac:dyDescent="0.35">
      <c r="D287" s="5"/>
    </row>
    <row r="288" spans="4:4" x14ac:dyDescent="0.35">
      <c r="D288" s="5"/>
    </row>
    <row r="289" spans="4:4" x14ac:dyDescent="0.35">
      <c r="D289" s="5"/>
    </row>
    <row r="290" spans="4:4" x14ac:dyDescent="0.35">
      <c r="D290" s="5"/>
    </row>
    <row r="291" spans="4:4" x14ac:dyDescent="0.35">
      <c r="D291" s="5"/>
    </row>
    <row r="292" spans="4:4" x14ac:dyDescent="0.35">
      <c r="D292" s="5"/>
    </row>
    <row r="293" spans="4:4" x14ac:dyDescent="0.35">
      <c r="D293" s="5"/>
    </row>
    <row r="294" spans="4:4" x14ac:dyDescent="0.35">
      <c r="D294" s="5"/>
    </row>
    <row r="295" spans="4:4" x14ac:dyDescent="0.35">
      <c r="D295" s="5"/>
    </row>
    <row r="296" spans="4:4" x14ac:dyDescent="0.35">
      <c r="D296" s="5"/>
    </row>
    <row r="297" spans="4:4" x14ac:dyDescent="0.35">
      <c r="D297" s="5"/>
    </row>
    <row r="298" spans="4:4" x14ac:dyDescent="0.35">
      <c r="D298" s="5"/>
    </row>
    <row r="299" spans="4:4" x14ac:dyDescent="0.35">
      <c r="D299" s="5"/>
    </row>
    <row r="300" spans="4:4" x14ac:dyDescent="0.35">
      <c r="D300" s="5"/>
    </row>
    <row r="301" spans="4:4" x14ac:dyDescent="0.35">
      <c r="D301" s="5"/>
    </row>
    <row r="302" spans="4:4" x14ac:dyDescent="0.35">
      <c r="D302" s="5"/>
    </row>
    <row r="303" spans="4:4" x14ac:dyDescent="0.35">
      <c r="D303" s="5"/>
    </row>
    <row r="304" spans="4:4" x14ac:dyDescent="0.35">
      <c r="D304" s="5"/>
    </row>
    <row r="305" spans="4:4" x14ac:dyDescent="0.35">
      <c r="D305" s="5"/>
    </row>
    <row r="306" spans="4:4" x14ac:dyDescent="0.35">
      <c r="D306" s="5"/>
    </row>
    <row r="307" spans="4:4" x14ac:dyDescent="0.35">
      <c r="D307" s="5"/>
    </row>
    <row r="308" spans="4:4" x14ac:dyDescent="0.35">
      <c r="D308" s="5"/>
    </row>
    <row r="309" spans="4:4" x14ac:dyDescent="0.35">
      <c r="D309" s="5"/>
    </row>
    <row r="310" spans="4:4" x14ac:dyDescent="0.35">
      <c r="D310" s="5"/>
    </row>
    <row r="311" spans="4:4" x14ac:dyDescent="0.35">
      <c r="D311" s="5"/>
    </row>
    <row r="312" spans="4:4" x14ac:dyDescent="0.35">
      <c r="D312" s="5"/>
    </row>
    <row r="313" spans="4:4" x14ac:dyDescent="0.35">
      <c r="D313" s="5"/>
    </row>
    <row r="314" spans="4:4" x14ac:dyDescent="0.35">
      <c r="D314" s="5"/>
    </row>
    <row r="315" spans="4:4" x14ac:dyDescent="0.35">
      <c r="D315" s="5"/>
    </row>
    <row r="316" spans="4:4" x14ac:dyDescent="0.35">
      <c r="D316" s="5"/>
    </row>
    <row r="317" spans="4:4" x14ac:dyDescent="0.35">
      <c r="D317" s="5"/>
    </row>
    <row r="318" spans="4:4" x14ac:dyDescent="0.35">
      <c r="D318" s="5"/>
    </row>
    <row r="319" spans="4:4" x14ac:dyDescent="0.35">
      <c r="D319" s="5"/>
    </row>
    <row r="320" spans="4:4" x14ac:dyDescent="0.35">
      <c r="D320" s="5"/>
    </row>
    <row r="321" spans="4:4" x14ac:dyDescent="0.35">
      <c r="D321" s="5"/>
    </row>
    <row r="322" spans="4:4" x14ac:dyDescent="0.35">
      <c r="D322" s="5"/>
    </row>
    <row r="323" spans="4:4" x14ac:dyDescent="0.35">
      <c r="D323" s="5"/>
    </row>
    <row r="324" spans="4:4" x14ac:dyDescent="0.35">
      <c r="D324" s="5"/>
    </row>
    <row r="325" spans="4:4" x14ac:dyDescent="0.35">
      <c r="D325" s="5"/>
    </row>
    <row r="326" spans="4:4" x14ac:dyDescent="0.35">
      <c r="D326" s="5"/>
    </row>
    <row r="327" spans="4:4" x14ac:dyDescent="0.35">
      <c r="D327" s="5"/>
    </row>
    <row r="328" spans="4:4" x14ac:dyDescent="0.35">
      <c r="D328" s="5"/>
    </row>
    <row r="329" spans="4:4" x14ac:dyDescent="0.35">
      <c r="D329" s="5"/>
    </row>
    <row r="330" spans="4:4" x14ac:dyDescent="0.35">
      <c r="D330" s="5"/>
    </row>
    <row r="331" spans="4:4" x14ac:dyDescent="0.35">
      <c r="D331" s="5"/>
    </row>
    <row r="332" spans="4:4" x14ac:dyDescent="0.35">
      <c r="D332" s="5"/>
    </row>
    <row r="333" spans="4:4" x14ac:dyDescent="0.35">
      <c r="D333" s="5"/>
    </row>
    <row r="334" spans="4:4" x14ac:dyDescent="0.35">
      <c r="D334" s="5"/>
    </row>
    <row r="335" spans="4:4" x14ac:dyDescent="0.35">
      <c r="D335" s="5"/>
    </row>
    <row r="336" spans="4:4" x14ac:dyDescent="0.35">
      <c r="D336" s="5"/>
    </row>
    <row r="337" spans="4:4" x14ac:dyDescent="0.35">
      <c r="D337" s="5"/>
    </row>
    <row r="338" spans="4:4" x14ac:dyDescent="0.35">
      <c r="D338" s="5"/>
    </row>
    <row r="339" spans="4:4" x14ac:dyDescent="0.35">
      <c r="D339" s="5"/>
    </row>
    <row r="340" spans="4:4" x14ac:dyDescent="0.35">
      <c r="D340" s="5"/>
    </row>
    <row r="341" spans="4:4" x14ac:dyDescent="0.35">
      <c r="D341" s="5"/>
    </row>
    <row r="342" spans="4:4" x14ac:dyDescent="0.35">
      <c r="D342" s="5"/>
    </row>
    <row r="343" spans="4:4" x14ac:dyDescent="0.35">
      <c r="D343" s="5"/>
    </row>
    <row r="344" spans="4:4" x14ac:dyDescent="0.35">
      <c r="D344" s="5"/>
    </row>
    <row r="345" spans="4:4" x14ac:dyDescent="0.35">
      <c r="D345" s="5"/>
    </row>
    <row r="346" spans="4:4" x14ac:dyDescent="0.35">
      <c r="D346" s="5"/>
    </row>
    <row r="347" spans="4:4" x14ac:dyDescent="0.35">
      <c r="D347" s="5"/>
    </row>
    <row r="348" spans="4:4" x14ac:dyDescent="0.35">
      <c r="D348" s="5"/>
    </row>
    <row r="349" spans="4:4" x14ac:dyDescent="0.35">
      <c r="D349" s="5"/>
    </row>
    <row r="350" spans="4:4" x14ac:dyDescent="0.35">
      <c r="D350" s="5"/>
    </row>
    <row r="351" spans="4:4" x14ac:dyDescent="0.35">
      <c r="D351" s="5"/>
    </row>
    <row r="352" spans="4:4" x14ac:dyDescent="0.35">
      <c r="D352" s="5"/>
    </row>
    <row r="353" spans="4:4" x14ac:dyDescent="0.35">
      <c r="D353" s="5"/>
    </row>
    <row r="354" spans="4:4" x14ac:dyDescent="0.35">
      <c r="D354" s="5"/>
    </row>
    <row r="355" spans="4:4" x14ac:dyDescent="0.35">
      <c r="D355" s="5"/>
    </row>
    <row r="356" spans="4:4" x14ac:dyDescent="0.35">
      <c r="D356" s="5"/>
    </row>
    <row r="357" spans="4:4" x14ac:dyDescent="0.35">
      <c r="D357" s="5"/>
    </row>
    <row r="358" spans="4:4" x14ac:dyDescent="0.35">
      <c r="D358" s="5"/>
    </row>
    <row r="359" spans="4:4" x14ac:dyDescent="0.35">
      <c r="D359" s="5"/>
    </row>
    <row r="360" spans="4:4" x14ac:dyDescent="0.35">
      <c r="D360" s="5"/>
    </row>
    <row r="361" spans="4:4" x14ac:dyDescent="0.35">
      <c r="D361" s="5"/>
    </row>
    <row r="362" spans="4:4" x14ac:dyDescent="0.35">
      <c r="D362" s="5"/>
    </row>
    <row r="363" spans="4:4" x14ac:dyDescent="0.35">
      <c r="D363" s="5"/>
    </row>
    <row r="364" spans="4:4" x14ac:dyDescent="0.35">
      <c r="D364" s="5"/>
    </row>
    <row r="365" spans="4:4" x14ac:dyDescent="0.35">
      <c r="D365" s="5"/>
    </row>
    <row r="366" spans="4:4" x14ac:dyDescent="0.35">
      <c r="D366" s="5"/>
    </row>
    <row r="367" spans="4:4" x14ac:dyDescent="0.35">
      <c r="D367" s="5"/>
    </row>
    <row r="368" spans="4:4" x14ac:dyDescent="0.35">
      <c r="D368" s="5"/>
    </row>
    <row r="369" spans="4:4" x14ac:dyDescent="0.35">
      <c r="D369" s="5"/>
    </row>
    <row r="370" spans="4:4" x14ac:dyDescent="0.35">
      <c r="D370" s="5"/>
    </row>
    <row r="371" spans="4:4" x14ac:dyDescent="0.35">
      <c r="D371" s="5"/>
    </row>
    <row r="372" spans="4:4" x14ac:dyDescent="0.35">
      <c r="D372" s="5"/>
    </row>
    <row r="373" spans="4:4" x14ac:dyDescent="0.35">
      <c r="D373" s="5"/>
    </row>
    <row r="374" spans="4:4" x14ac:dyDescent="0.35">
      <c r="D374" s="5"/>
    </row>
    <row r="375" spans="4:4" x14ac:dyDescent="0.35">
      <c r="D375" s="5"/>
    </row>
    <row r="376" spans="4:4" x14ac:dyDescent="0.35">
      <c r="D376" s="5"/>
    </row>
    <row r="377" spans="4:4" x14ac:dyDescent="0.35">
      <c r="D377" s="5"/>
    </row>
    <row r="378" spans="4:4" x14ac:dyDescent="0.35">
      <c r="D378" s="5"/>
    </row>
    <row r="379" spans="4:4" x14ac:dyDescent="0.35">
      <c r="D379" s="5"/>
    </row>
    <row r="380" spans="4:4" x14ac:dyDescent="0.35">
      <c r="D380" s="5"/>
    </row>
    <row r="381" spans="4:4" x14ac:dyDescent="0.35">
      <c r="D381" s="5"/>
    </row>
    <row r="382" spans="4:4" x14ac:dyDescent="0.35">
      <c r="D382" s="5"/>
    </row>
    <row r="383" spans="4:4" x14ac:dyDescent="0.35">
      <c r="D383" s="5"/>
    </row>
    <row r="384" spans="4:4" x14ac:dyDescent="0.35">
      <c r="D384" s="5"/>
    </row>
    <row r="385" spans="4:4" x14ac:dyDescent="0.35">
      <c r="D385" s="5"/>
    </row>
    <row r="386" spans="4:4" x14ac:dyDescent="0.35">
      <c r="D386" s="5"/>
    </row>
    <row r="387" spans="4:4" x14ac:dyDescent="0.35">
      <c r="D387" s="5"/>
    </row>
    <row r="388" spans="4:4" x14ac:dyDescent="0.35">
      <c r="D388" s="5"/>
    </row>
    <row r="389" spans="4:4" x14ac:dyDescent="0.35">
      <c r="D389" s="5"/>
    </row>
    <row r="390" spans="4:4" x14ac:dyDescent="0.35">
      <c r="D390" s="5"/>
    </row>
    <row r="391" spans="4:4" x14ac:dyDescent="0.35">
      <c r="D391" s="5"/>
    </row>
    <row r="392" spans="4:4" x14ac:dyDescent="0.35">
      <c r="D392" s="5"/>
    </row>
    <row r="393" spans="4:4" x14ac:dyDescent="0.35">
      <c r="D393" s="5"/>
    </row>
    <row r="394" spans="4:4" x14ac:dyDescent="0.35">
      <c r="D394" s="5"/>
    </row>
    <row r="395" spans="4:4" x14ac:dyDescent="0.35">
      <c r="D395" s="5"/>
    </row>
    <row r="396" spans="4:4" x14ac:dyDescent="0.35">
      <c r="D396" s="5"/>
    </row>
    <row r="397" spans="4:4" x14ac:dyDescent="0.35">
      <c r="D397" s="5"/>
    </row>
  </sheetData>
  <mergeCells count="10">
    <mergeCell ref="Q2:V2"/>
    <mergeCell ref="Q3:V3"/>
    <mergeCell ref="B2:K2"/>
    <mergeCell ref="L2:N2"/>
    <mergeCell ref="B3:B4"/>
    <mergeCell ref="C3:C4"/>
    <mergeCell ref="D3:D4"/>
    <mergeCell ref="E3:E4"/>
    <mergeCell ref="F3:F4"/>
    <mergeCell ref="N3:N4"/>
  </mergeCells>
  <pageMargins left="0.25" right="0.25" top="0.75" bottom="0.75" header="0.3" footer="0.3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3E28C877D3AC4585D410F73B33F8AC" ma:contentTypeVersion="14" ma:contentTypeDescription="Create a new document." ma:contentTypeScope="" ma:versionID="522d16329d5d6d2f001c2b075ca76ce4">
  <xsd:schema xmlns:xsd="http://www.w3.org/2001/XMLSchema" xmlns:xs="http://www.w3.org/2001/XMLSchema" xmlns:p="http://schemas.microsoft.com/office/2006/metadata/properties" xmlns:ns3="2b2fda2b-cede-4e48-82b6-acc629331dde" xmlns:ns4="64a065e5-9d27-4e38-8348-14364ced752b" targetNamespace="http://schemas.microsoft.com/office/2006/metadata/properties" ma:root="true" ma:fieldsID="6a9038d575ae8769041a84b9db774254" ns3:_="" ns4:_="">
    <xsd:import namespace="2b2fda2b-cede-4e48-82b6-acc629331dde"/>
    <xsd:import namespace="64a065e5-9d27-4e38-8348-14364ced75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fda2b-cede-4e48-82b6-acc629331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065e5-9d27-4e38-8348-14364ced752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3EFD17-CC1B-4CB3-BF9A-F3CBFA247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2fda2b-cede-4e48-82b6-acc629331dde"/>
    <ds:schemaRef ds:uri="64a065e5-9d27-4e38-8348-14364ced75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018883-2176-4B5E-8DA5-8952BD4B01A9}">
  <ds:schemaRefs>
    <ds:schemaRef ds:uri="64a065e5-9d27-4e38-8348-14364ced752b"/>
    <ds:schemaRef ds:uri="http://schemas.microsoft.com/office/2006/documentManagement/types"/>
    <ds:schemaRef ds:uri="http://purl.org/dc/elements/1.1/"/>
    <ds:schemaRef ds:uri="2b2fda2b-cede-4e48-82b6-acc629331dde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732C2D7-4294-4A19-88FD-5B2AFB9586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Comparison statement</vt:lpstr>
      <vt:lpstr>RERA</vt:lpstr>
      <vt:lpstr>CO-EFFICIENT CALCULATION</vt:lpstr>
      <vt:lpstr>RERA STATEMENT</vt:lpstr>
      <vt:lpstr>STILT</vt:lpstr>
      <vt:lpstr>COMMON AREA</vt:lpstr>
      <vt:lpstr>DETAILED UNIT AREA TABULATION</vt:lpstr>
      <vt:lpstr>Total consolidated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SYS7</dc:creator>
  <cp:lastModifiedBy>Salman Sharabudeen (Design/TVSHousing/TVSEMERALD)</cp:lastModifiedBy>
  <cp:lastPrinted>2021-05-21T06:53:56Z</cp:lastPrinted>
  <dcterms:created xsi:type="dcterms:W3CDTF">2017-08-30T12:32:56Z</dcterms:created>
  <dcterms:modified xsi:type="dcterms:W3CDTF">2025-06-18T11:33:18Z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0x010100413E28C877D3AC4585D410F73B33F8AC</vt:lpwstr>
  </property>
</Properties>
</file>