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weta\SOC - valarpuram\PHASE 1A\RERA 2026\"/>
    </mc:Choice>
  </mc:AlternateContent>
  <bookViews>
    <workbookView xWindow="-105" yWindow="-105" windowWidth="19425" windowHeight="10305"/>
  </bookViews>
  <sheets>
    <sheet name="SOC - 1A UDS abstract" sheetId="5" r:id="rId1"/>
    <sheet name="SOC- 1A as per latest pline" sheetId="4" r:id="rId2"/>
  </sheets>
  <definedNames>
    <definedName name="_xlnm.Print_Area" localSheetId="0">'SOC - 1A UDS abstract'!$C$4:$F$32</definedName>
    <definedName name="_xlnm.Print_Area" localSheetId="1">'SOC- 1A as per latest pline'!$B$2:$P$28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4" l="1"/>
  <c r="J16" i="4"/>
  <c r="J15" i="4"/>
  <c r="J14" i="4"/>
  <c r="J13" i="4"/>
  <c r="J12" i="4"/>
  <c r="J11" i="4"/>
  <c r="J10" i="4"/>
  <c r="J9" i="4"/>
  <c r="J8" i="4"/>
  <c r="J7" i="4"/>
  <c r="J6" i="4"/>
  <c r="F30" i="5" l="1"/>
  <c r="D27" i="5"/>
  <c r="E30" i="5"/>
  <c r="D30" i="5"/>
  <c r="D26" i="5"/>
  <c r="E23" i="5"/>
  <c r="E26" i="5" s="1"/>
  <c r="E27" i="5" s="1"/>
  <c r="E24" i="5"/>
  <c r="E25" i="5"/>
  <c r="E28" i="5"/>
  <c r="E29" i="5"/>
  <c r="E22" i="5"/>
  <c r="D20" i="5" l="1"/>
  <c r="E20" i="5"/>
  <c r="G9" i="4" l="1"/>
  <c r="G8" i="4"/>
  <c r="G7" i="4"/>
  <c r="G6" i="4"/>
  <c r="G12" i="4"/>
  <c r="G11" i="4"/>
  <c r="G10" i="4"/>
  <c r="G17" i="4"/>
  <c r="G16" i="4"/>
  <c r="G15" i="4"/>
  <c r="G14" i="4"/>
  <c r="G13" i="4"/>
  <c r="L9" i="4" l="1"/>
  <c r="K7" i="4"/>
  <c r="L7" i="4" s="1"/>
  <c r="K8" i="4"/>
  <c r="L8" i="4" s="1"/>
  <c r="K9" i="4"/>
  <c r="K10" i="4"/>
  <c r="L10" i="4" s="1"/>
  <c r="K11" i="4"/>
  <c r="L11" i="4" s="1"/>
  <c r="K12" i="4"/>
  <c r="L12" i="4" s="1"/>
  <c r="K13" i="4"/>
  <c r="L13" i="4" s="1"/>
  <c r="K14" i="4"/>
  <c r="L14" i="4" s="1"/>
  <c r="K15" i="4"/>
  <c r="L15" i="4" s="1"/>
  <c r="K16" i="4"/>
  <c r="L16" i="4" s="1"/>
  <c r="K17" i="4"/>
  <c r="L17" i="4" s="1"/>
  <c r="K6" i="4"/>
  <c r="L6" i="4" s="1"/>
  <c r="I17" i="4" l="1"/>
  <c r="I16" i="4"/>
  <c r="I15" i="4"/>
  <c r="I14" i="4"/>
  <c r="I13" i="4"/>
  <c r="I12" i="4"/>
  <c r="I11" i="4"/>
  <c r="I10" i="4"/>
  <c r="I9" i="4"/>
  <c r="I8" i="4"/>
  <c r="I7" i="4"/>
  <c r="I6" i="4"/>
  <c r="H6" i="4"/>
  <c r="H9" i="4"/>
  <c r="H8" i="4"/>
  <c r="H7" i="4"/>
  <c r="H12" i="4"/>
  <c r="H11" i="4"/>
  <c r="H10" i="4"/>
  <c r="H13" i="4"/>
  <c r="H14" i="4"/>
  <c r="H15" i="4"/>
  <c r="H16" i="4"/>
  <c r="H17" i="4"/>
  <c r="G18" i="4"/>
  <c r="P18" i="4"/>
  <c r="O18" i="4"/>
  <c r="N18" i="4"/>
  <c r="L18" i="4"/>
  <c r="K18" i="4"/>
  <c r="I18" i="4" l="1"/>
  <c r="H18" i="4"/>
  <c r="M18" i="4"/>
  <c r="J18" i="4"/>
</calcChain>
</file>

<file path=xl/sharedStrings.xml><?xml version="1.0" encoding="utf-8"?>
<sst xmlns="http://schemas.openxmlformats.org/spreadsheetml/2006/main" count="129" uniqueCount="61">
  <si>
    <t>SI.No.</t>
  </si>
  <si>
    <t>Floor</t>
  </si>
  <si>
    <t>Type</t>
  </si>
  <si>
    <t>-</t>
  </si>
  <si>
    <t>Total Area</t>
  </si>
  <si>
    <t>(a)
Carpet Area (as per Sec 2(k) of the RERA Act)
(Sq.m)</t>
  </si>
  <si>
    <t>(b)
Exclusive Balcony
(sq.m)</t>
  </si>
  <si>
    <t>(C)
Exclusive Verandah/Utility/
Service/Open Terrace
(Sq.m)</t>
  </si>
  <si>
    <t>(d)
Area of External walls
(sq.m)</t>
  </si>
  <si>
    <t xml:space="preserve">(f)
Proportionate Common Area
(sq.m) </t>
  </si>
  <si>
    <t>(h)
UDS land Area
(Sq.m)</t>
  </si>
  <si>
    <t>(i)
Car Parking
 (Nos.)</t>
  </si>
  <si>
    <t xml:space="preserve">Covered </t>
  </si>
  <si>
    <t>Open</t>
  </si>
  <si>
    <t>Visitor's Car Parking</t>
  </si>
  <si>
    <t>Total Car Parking</t>
  </si>
  <si>
    <t>Note:</t>
  </si>
  <si>
    <t>• Carpet Area statement with total UDS for the least extent.</t>
  </si>
  <si>
    <t>• If any land reserved for future development, an abstract to be shown in the carpet area statement mentioning the UDS for the approved blocks and UDS for the future development.</t>
  </si>
  <si>
    <t>• Car parking to be allotted/provided as per the Tamil Nadu Combined Development and Building Rules (TNCDBR), 2019.</t>
  </si>
  <si>
    <t>• If one car parking is required for two apartments, promoter to clearly mention in the carpet area statement as to how car parking will be allotted.</t>
  </si>
  <si>
    <t>• Promoter to clearly mention cover, open and visitor carparking.</t>
  </si>
  <si>
    <t>• Car parking allotted to individual apartment to be shown in the carpet area statement.</t>
  </si>
  <si>
    <t>Plot</t>
  </si>
  <si>
    <t>Ground + 1</t>
  </si>
  <si>
    <t>Row House</t>
  </si>
  <si>
    <t>Unit</t>
  </si>
  <si>
    <t>2BHK</t>
  </si>
  <si>
    <t>(g) = (e+f)
Gross Area of 
the 
villa
(Sq.m)</t>
  </si>
  <si>
    <t>(e)= (a+b+c+d) Floor Area of the villa (sq.m)</t>
  </si>
  <si>
    <t>Site Address :  Sf No-215/2D, 3B, 6C, 7A3, 7B, 8, 9A, 10A, 216/1A1C, 1A2, 1B1, 4C, and 5C Valarpuram Village, Sriperumpudur Taluk, Kancheepuram District</t>
  </si>
  <si>
    <t xml:space="preserve">                                                                                                               Carpet Area Statement - VILLAS                                                                                                                  Date:31.03.2026</t>
  </si>
  <si>
    <t xml:space="preserve">Decription </t>
  </si>
  <si>
    <t xml:space="preserve">Car Parking nos. </t>
  </si>
  <si>
    <t>Land Extent</t>
  </si>
  <si>
    <t>Deduct road Gifted to local body</t>
  </si>
  <si>
    <r>
      <rPr>
        <b/>
        <sz val="12"/>
        <rFont val="Calibri"/>
        <family val="2"/>
      </rPr>
      <t>Site Address :</t>
    </r>
    <r>
      <rPr>
        <sz val="12"/>
        <rFont val="Calibri"/>
        <family val="2"/>
      </rPr>
      <t>Sf No-215/2D, 3B, 6C, 7A3, 7B, 8, 9A, 10A, 216/1A1C, 1A2, 1B1, 4C, and 5C Valarpuram Village, Sriperumpudur Taluk, Kancheepuram District</t>
    </r>
  </si>
  <si>
    <t>Villa 66</t>
  </si>
  <si>
    <t>Villa 70</t>
  </si>
  <si>
    <t>Villa 71</t>
  </si>
  <si>
    <t>Villa 72</t>
  </si>
  <si>
    <t>Villa 74</t>
  </si>
  <si>
    <t>Villa 75</t>
  </si>
  <si>
    <t>Villa 76</t>
  </si>
  <si>
    <t>Villa 81</t>
  </si>
  <si>
    <t>Villa 83</t>
  </si>
  <si>
    <t>Villa 84</t>
  </si>
  <si>
    <t>Villa 85</t>
  </si>
  <si>
    <t>Villa 86</t>
  </si>
  <si>
    <t xml:space="preserve">Deducting villa land area completed before RERA </t>
  </si>
  <si>
    <t xml:space="preserve">Deduct shop </t>
  </si>
  <si>
    <t>Deduct park Gifted to local body</t>
  </si>
  <si>
    <t>(A) Total Net Land area</t>
  </si>
  <si>
    <t>Total Land area of above mentioned villas</t>
  </si>
  <si>
    <t>Land area in sqft</t>
  </si>
  <si>
    <t>Land area in sqm</t>
  </si>
  <si>
    <t>Land Area Abstract</t>
  </si>
  <si>
    <t xml:space="preserve">Total Land area of 12 villas in current proposal </t>
  </si>
  <si>
    <t xml:space="preserve">Gross Area </t>
  </si>
  <si>
    <t>Deducting 39 villa land area as per TN form C -TN/01/BUILDING/0191/2018</t>
  </si>
  <si>
    <t>Deducting 7 villa land area as per TN form C - TN/01/BUILDING/0408/2020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</si>
</sst>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1"/>
    </font>
    <font>
      <b/>
      <sz val="12"/>
      <name val="Calibri"/>
      <family val="1"/>
    </font>
    <font>
      <b/>
      <sz val="11"/>
      <color theme="1"/>
      <name val="Calibri"/>
      <family val="2"/>
      <scheme val="minor"/>
    </font>
    <font>
      <b/>
      <sz val="18"/>
      <name val="Calibri"/>
      <family val="1"/>
    </font>
    <font>
      <b/>
      <sz val="12"/>
      <name val="Calibri"/>
      <family val="2"/>
    </font>
    <font>
      <sz val="12"/>
      <name val="Calibri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 wrapText="1"/>
    </xf>
    <xf numFmtId="0" fontId="2" fillId="0" borderId="16" xfId="0" quotePrefix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2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2" fontId="2" fillId="0" borderId="20" xfId="0" quotePrefix="1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31" xfId="0" quotePrefix="1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2" fontId="2" fillId="0" borderId="33" xfId="0" applyNumberFormat="1" applyFon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/>
    </xf>
    <xf numFmtId="0" fontId="2" fillId="0" borderId="22" xfId="0" quotePrefix="1" applyFont="1" applyBorder="1" applyAlignment="1">
      <alignment horizontal="center" vertical="center" wrapText="1"/>
    </xf>
    <xf numFmtId="0" fontId="2" fillId="0" borderId="34" xfId="0" quotePrefix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46" xfId="0" applyFont="1" applyBorder="1" applyAlignment="1">
      <alignment horizontal="left" vertical="center" wrapText="1"/>
    </xf>
    <xf numFmtId="2" fontId="0" fillId="0" borderId="38" xfId="0" applyNumberFormat="1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left" vertical="center" wrapText="1"/>
    </xf>
    <xf numFmtId="0" fontId="0" fillId="0" borderId="4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41" xfId="0" quotePrefix="1" applyFont="1" applyBorder="1" applyAlignment="1">
      <alignment horizontal="left" vertical="center" wrapText="1"/>
    </xf>
    <xf numFmtId="0" fontId="0" fillId="0" borderId="41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0" fillId="0" borderId="43" xfId="0" applyFont="1" applyBorder="1" applyAlignment="1">
      <alignment horizontal="left" vertical="center" wrapText="1"/>
    </xf>
    <xf numFmtId="0" fontId="0" fillId="0" borderId="44" xfId="0" applyFont="1" applyBorder="1" applyAlignment="1">
      <alignment horizontal="left" vertical="center" wrapText="1"/>
    </xf>
    <xf numFmtId="0" fontId="0" fillId="0" borderId="47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 wrapText="1"/>
    </xf>
    <xf numFmtId="2" fontId="6" fillId="0" borderId="43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45" xfId="0" applyFont="1" applyBorder="1" applyAlignment="1">
      <alignment horizontal="left" vertical="center" wrapText="1"/>
    </xf>
    <xf numFmtId="2" fontId="0" fillId="0" borderId="39" xfId="0" applyNumberFormat="1" applyFont="1" applyBorder="1" applyAlignment="1">
      <alignment horizontal="left" vertical="center" wrapText="1"/>
    </xf>
    <xf numFmtId="2" fontId="6" fillId="0" borderId="41" xfId="0" applyNumberFormat="1" applyFont="1" applyBorder="1" applyAlignment="1">
      <alignment horizontal="left" vertical="center" wrapText="1"/>
    </xf>
    <xf numFmtId="1" fontId="6" fillId="0" borderId="45" xfId="0" applyNumberFormat="1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2" fontId="2" fillId="0" borderId="15" xfId="0" quotePrefix="1" applyNumberFormat="1" applyFont="1" applyFill="1" applyBorder="1" applyAlignment="1">
      <alignment horizontal="center" vertical="center" wrapText="1"/>
    </xf>
    <xf numFmtId="2" fontId="2" fillId="0" borderId="1" xfId="0" quotePrefix="1" applyNumberFormat="1" applyFont="1" applyFill="1" applyBorder="1" applyAlignment="1">
      <alignment horizontal="center" vertical="center" wrapText="1"/>
    </xf>
    <xf numFmtId="2" fontId="2" fillId="0" borderId="31" xfId="0" quotePrefix="1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9" xfId="0" quotePrefix="1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32"/>
  <sheetViews>
    <sheetView tabSelected="1" view="pageBreakPreview" topLeftCell="A19" zoomScaleNormal="100" zoomScaleSheetLayoutView="100" workbookViewId="0">
      <selection activeCell="J28" sqref="J28"/>
    </sheetView>
  </sheetViews>
  <sheetFormatPr defaultRowHeight="15" x14ac:dyDescent="0.25"/>
  <cols>
    <col min="1" max="2" width="9.140625" style="63"/>
    <col min="3" max="3" width="30.7109375" style="63" customWidth="1"/>
    <col min="4" max="4" width="12.7109375" style="63" customWidth="1"/>
    <col min="5" max="5" width="12" style="63" customWidth="1"/>
    <col min="6" max="6" width="15" style="63" customWidth="1"/>
    <col min="7" max="8" width="9.140625" style="63"/>
    <col min="9" max="9" width="4.28515625" style="63" customWidth="1"/>
    <col min="10" max="16384" width="9.140625" style="63"/>
  </cols>
  <sheetData>
    <row r="3" spans="3:10" ht="15.75" thickBot="1" x14ac:dyDescent="0.3"/>
    <row r="4" spans="3:10" ht="24" thickBot="1" x14ac:dyDescent="0.3">
      <c r="C4" s="82" t="s">
        <v>56</v>
      </c>
      <c r="D4" s="83"/>
      <c r="E4" s="83"/>
      <c r="F4" s="84"/>
    </row>
    <row r="5" spans="3:10" ht="54.75" customHeight="1" thickBot="1" x14ac:dyDescent="0.3">
      <c r="C5" s="85" t="s">
        <v>36</v>
      </c>
      <c r="D5" s="86"/>
      <c r="E5" s="86"/>
      <c r="F5" s="87"/>
    </row>
    <row r="6" spans="3:10" ht="6" customHeight="1" thickBot="1" x14ac:dyDescent="0.3">
      <c r="C6" s="64"/>
      <c r="D6" s="65"/>
      <c r="E6" s="65"/>
      <c r="F6" s="66"/>
    </row>
    <row r="7" spans="3:10" ht="34.5" customHeight="1" x14ac:dyDescent="0.25">
      <c r="C7" s="75" t="s">
        <v>32</v>
      </c>
      <c r="D7" s="76" t="s">
        <v>54</v>
      </c>
      <c r="E7" s="76" t="s">
        <v>55</v>
      </c>
      <c r="F7" s="77" t="s">
        <v>33</v>
      </c>
      <c r="J7" s="74"/>
    </row>
    <row r="8" spans="3:10" x14ac:dyDescent="0.25">
      <c r="C8" s="48" t="s">
        <v>37</v>
      </c>
      <c r="D8" s="49">
        <v>722</v>
      </c>
      <c r="E8" s="49">
        <v>67.12</v>
      </c>
      <c r="F8" s="50" t="s">
        <v>3</v>
      </c>
    </row>
    <row r="9" spans="3:10" x14ac:dyDescent="0.25">
      <c r="C9" s="48" t="s">
        <v>38</v>
      </c>
      <c r="D9" s="49">
        <v>600</v>
      </c>
      <c r="E9" s="49">
        <v>55.74</v>
      </c>
      <c r="F9" s="50" t="s">
        <v>3</v>
      </c>
    </row>
    <row r="10" spans="3:10" x14ac:dyDescent="0.25">
      <c r="C10" s="48" t="s">
        <v>39</v>
      </c>
      <c r="D10" s="49">
        <v>600</v>
      </c>
      <c r="E10" s="49">
        <v>54.58</v>
      </c>
      <c r="F10" s="50" t="s">
        <v>3</v>
      </c>
    </row>
    <row r="11" spans="3:10" x14ac:dyDescent="0.25">
      <c r="C11" s="48" t="s">
        <v>40</v>
      </c>
      <c r="D11" s="49">
        <v>834</v>
      </c>
      <c r="E11" s="49">
        <v>77.66</v>
      </c>
      <c r="F11" s="51">
        <v>1</v>
      </c>
    </row>
    <row r="12" spans="3:10" x14ac:dyDescent="0.25">
      <c r="C12" s="48" t="s">
        <v>41</v>
      </c>
      <c r="D12" s="49">
        <v>600</v>
      </c>
      <c r="E12" s="49">
        <v>54.58</v>
      </c>
      <c r="F12" s="50" t="s">
        <v>3</v>
      </c>
    </row>
    <row r="13" spans="3:10" x14ac:dyDescent="0.25">
      <c r="C13" s="48" t="s">
        <v>42</v>
      </c>
      <c r="D13" s="49">
        <v>600</v>
      </c>
      <c r="E13" s="49">
        <v>55.74</v>
      </c>
      <c r="F13" s="50" t="s">
        <v>3</v>
      </c>
    </row>
    <row r="14" spans="3:10" x14ac:dyDescent="0.25">
      <c r="C14" s="48" t="s">
        <v>43</v>
      </c>
      <c r="D14" s="49">
        <v>600</v>
      </c>
      <c r="E14" s="49">
        <v>55.74</v>
      </c>
      <c r="F14" s="50" t="s">
        <v>3</v>
      </c>
    </row>
    <row r="15" spans="3:10" x14ac:dyDescent="0.25">
      <c r="C15" s="48" t="s">
        <v>44</v>
      </c>
      <c r="D15" s="49">
        <v>600</v>
      </c>
      <c r="E15" s="49">
        <v>55.74</v>
      </c>
      <c r="F15" s="50" t="s">
        <v>3</v>
      </c>
    </row>
    <row r="16" spans="3:10" x14ac:dyDescent="0.25">
      <c r="C16" s="48" t="s">
        <v>45</v>
      </c>
      <c r="D16" s="49">
        <v>600</v>
      </c>
      <c r="E16" s="49">
        <v>55.74</v>
      </c>
      <c r="F16" s="50" t="s">
        <v>3</v>
      </c>
    </row>
    <row r="17" spans="3:6" x14ac:dyDescent="0.25">
      <c r="C17" s="48" t="s">
        <v>46</v>
      </c>
      <c r="D17" s="49">
        <v>600</v>
      </c>
      <c r="E17" s="49">
        <v>55.74</v>
      </c>
      <c r="F17" s="50" t="s">
        <v>3</v>
      </c>
    </row>
    <row r="18" spans="3:6" x14ac:dyDescent="0.25">
      <c r="C18" s="48" t="s">
        <v>47</v>
      </c>
      <c r="D18" s="49">
        <v>600</v>
      </c>
      <c r="E18" s="49">
        <v>54.58</v>
      </c>
      <c r="F18" s="50" t="s">
        <v>3</v>
      </c>
    </row>
    <row r="19" spans="3:6" x14ac:dyDescent="0.25">
      <c r="C19" s="48" t="s">
        <v>48</v>
      </c>
      <c r="D19" s="49">
        <v>600</v>
      </c>
      <c r="E19" s="49">
        <v>55.74</v>
      </c>
      <c r="F19" s="50" t="s">
        <v>3</v>
      </c>
    </row>
    <row r="20" spans="3:6" ht="30" x14ac:dyDescent="0.25">
      <c r="C20" s="52" t="s">
        <v>53</v>
      </c>
      <c r="D20" s="61">
        <f>SUM(D8:D19)</f>
        <v>7556</v>
      </c>
      <c r="E20" s="61">
        <f>SUM(E8:E19)</f>
        <v>698.7</v>
      </c>
      <c r="F20" s="62">
        <v>1</v>
      </c>
    </row>
    <row r="21" spans="3:6" ht="4.5" customHeight="1" thickBot="1" x14ac:dyDescent="0.3">
      <c r="C21" s="53"/>
      <c r="D21" s="54"/>
      <c r="E21" s="55"/>
      <c r="F21" s="67"/>
    </row>
    <row r="22" spans="3:6" x14ac:dyDescent="0.25">
      <c r="C22" s="45" t="s">
        <v>34</v>
      </c>
      <c r="D22" s="46">
        <v>237402</v>
      </c>
      <c r="E22" s="46">
        <f>D22/10.764</f>
        <v>22055.183946488294</v>
      </c>
      <c r="F22" s="68"/>
    </row>
    <row r="23" spans="3:6" x14ac:dyDescent="0.25">
      <c r="C23" s="56" t="s">
        <v>35</v>
      </c>
      <c r="D23" s="49">
        <v>78299</v>
      </c>
      <c r="E23" s="47">
        <f t="shared" ref="E23:E29" si="0">D23/10.764</f>
        <v>7274.1545893719813</v>
      </c>
      <c r="F23" s="51"/>
    </row>
    <row r="24" spans="3:6" x14ac:dyDescent="0.25">
      <c r="C24" s="56" t="s">
        <v>51</v>
      </c>
      <c r="D24" s="49">
        <v>24430</v>
      </c>
      <c r="E24" s="47">
        <f t="shared" si="0"/>
        <v>2269.6023782980305</v>
      </c>
      <c r="F24" s="51"/>
    </row>
    <row r="25" spans="3:6" x14ac:dyDescent="0.25">
      <c r="C25" s="56" t="s">
        <v>50</v>
      </c>
      <c r="D25" s="49">
        <v>2500</v>
      </c>
      <c r="E25" s="47">
        <f t="shared" si="0"/>
        <v>232.25566703827576</v>
      </c>
      <c r="F25" s="51"/>
    </row>
    <row r="26" spans="3:6" x14ac:dyDescent="0.25">
      <c r="C26" s="57" t="s">
        <v>52</v>
      </c>
      <c r="D26" s="58">
        <f>D22-D23-D24-D25</f>
        <v>132173</v>
      </c>
      <c r="E26" s="58">
        <f>E22-E23-E24-E25</f>
        <v>12279.171311780006</v>
      </c>
      <c r="F26" s="69"/>
    </row>
    <row r="27" spans="3:6" ht="30" x14ac:dyDescent="0.25">
      <c r="C27" s="56" t="s">
        <v>49</v>
      </c>
      <c r="D27" s="47">
        <f>D26-D28-D29-D30</f>
        <v>53208.088000000003</v>
      </c>
      <c r="E27" s="47">
        <f>E26-E28-E29-E30</f>
        <v>4946.4215161649936</v>
      </c>
      <c r="F27" s="51">
        <v>29</v>
      </c>
    </row>
    <row r="28" spans="3:6" ht="45" x14ac:dyDescent="0.25">
      <c r="C28" s="56" t="s">
        <v>59</v>
      </c>
      <c r="D28" s="49">
        <v>67522.572</v>
      </c>
      <c r="E28" s="47">
        <f>D28/10.764</f>
        <v>6273</v>
      </c>
      <c r="F28" s="51">
        <v>39</v>
      </c>
    </row>
    <row r="29" spans="3:6" ht="45" x14ac:dyDescent="0.25">
      <c r="C29" s="56" t="s">
        <v>60</v>
      </c>
      <c r="D29" s="47">
        <v>3886.34</v>
      </c>
      <c r="E29" s="47">
        <f t="shared" si="0"/>
        <v>361.04979561501307</v>
      </c>
      <c r="F29" s="51">
        <v>1</v>
      </c>
    </row>
    <row r="30" spans="3:6" ht="15.75" thickBot="1" x14ac:dyDescent="0.3">
      <c r="C30" s="59" t="s">
        <v>58</v>
      </c>
      <c r="D30" s="60">
        <f>D20</f>
        <v>7556</v>
      </c>
      <c r="E30" s="60">
        <f>E20</f>
        <v>698.7</v>
      </c>
      <c r="F30" s="70">
        <f>SUM(F22:F29)</f>
        <v>69</v>
      </c>
    </row>
    <row r="31" spans="3:6" ht="3.75" customHeight="1" x14ac:dyDescent="0.25">
      <c r="C31" s="71"/>
      <c r="D31" s="72"/>
      <c r="E31" s="72"/>
      <c r="F31" s="73"/>
    </row>
    <row r="32" spans="3:6" ht="30.75" thickBot="1" x14ac:dyDescent="0.3">
      <c r="C32" s="59" t="s">
        <v>57</v>
      </c>
      <c r="D32" s="60">
        <v>7556</v>
      </c>
      <c r="E32" s="60">
        <v>698.7</v>
      </c>
      <c r="F32" s="70">
        <v>1</v>
      </c>
    </row>
  </sheetData>
  <mergeCells count="2">
    <mergeCell ref="C4:F4"/>
    <mergeCell ref="C5:F5"/>
  </mergeCells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8"/>
  <sheetViews>
    <sheetView showGridLines="0" view="pageBreakPreview" zoomScale="60" zoomScaleNormal="70" workbookViewId="0">
      <selection activeCell="V21" sqref="V21"/>
    </sheetView>
  </sheetViews>
  <sheetFormatPr defaultRowHeight="15" x14ac:dyDescent="0.25"/>
  <cols>
    <col min="1" max="1" width="9.140625" style="3"/>
    <col min="2" max="2" width="6" style="3" customWidth="1"/>
    <col min="3" max="3" width="8.140625" style="3" customWidth="1"/>
    <col min="4" max="4" width="11.42578125" style="3" bestFit="1" customWidth="1"/>
    <col min="5" max="5" width="12" style="3" bestFit="1" customWidth="1"/>
    <col min="6" max="6" width="14.28515625" style="3" bestFit="1" customWidth="1"/>
    <col min="7" max="7" width="14.85546875" style="3" customWidth="1"/>
    <col min="8" max="8" width="10" style="3" customWidth="1"/>
    <col min="9" max="9" width="21.7109375" style="3" customWidth="1"/>
    <col min="10" max="10" width="12.7109375" style="3" customWidth="1"/>
    <col min="11" max="11" width="29.28515625" style="3" customWidth="1"/>
    <col min="12" max="12" width="14.28515625" style="3" customWidth="1"/>
    <col min="13" max="13" width="17.28515625" style="3" bestFit="1" customWidth="1"/>
    <col min="14" max="14" width="12.140625" style="3" bestFit="1" customWidth="1"/>
    <col min="15" max="15" width="10.7109375" style="3" customWidth="1"/>
    <col min="16" max="16384" width="9.140625" style="3"/>
  </cols>
  <sheetData>
    <row r="1" spans="2:18" ht="15.75" thickBot="1" x14ac:dyDescent="0.3"/>
    <row r="2" spans="2:18" ht="18.75" x14ac:dyDescent="0.25">
      <c r="B2" s="100" t="s">
        <v>31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2"/>
    </row>
    <row r="3" spans="2:18" ht="19.5" thickBot="1" x14ac:dyDescent="0.3">
      <c r="B3" s="103" t="s">
        <v>30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5"/>
    </row>
    <row r="4" spans="2:18" ht="15.75" thickBot="1" x14ac:dyDescent="0.3">
      <c r="B4" s="106" t="s">
        <v>0</v>
      </c>
      <c r="C4" s="95" t="s">
        <v>23</v>
      </c>
      <c r="D4" s="95" t="s">
        <v>1</v>
      </c>
      <c r="E4" s="95" t="s">
        <v>26</v>
      </c>
      <c r="F4" s="95" t="s">
        <v>2</v>
      </c>
      <c r="G4" s="95" t="s">
        <v>5</v>
      </c>
      <c r="H4" s="95" t="s">
        <v>6</v>
      </c>
      <c r="I4" s="95" t="s">
        <v>7</v>
      </c>
      <c r="J4" s="95" t="s">
        <v>8</v>
      </c>
      <c r="K4" s="95" t="s">
        <v>29</v>
      </c>
      <c r="L4" s="95" t="s">
        <v>9</v>
      </c>
      <c r="M4" s="95" t="s">
        <v>28</v>
      </c>
      <c r="N4" s="95" t="s">
        <v>10</v>
      </c>
      <c r="O4" s="98" t="s">
        <v>11</v>
      </c>
      <c r="P4" s="99"/>
    </row>
    <row r="5" spans="2:18" ht="84.75" customHeight="1" thickBot="1" x14ac:dyDescent="0.3">
      <c r="B5" s="107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7"/>
      <c r="O5" s="1" t="s">
        <v>12</v>
      </c>
      <c r="P5" s="1" t="s">
        <v>13</v>
      </c>
      <c r="R5" s="4"/>
    </row>
    <row r="6" spans="2:18" x14ac:dyDescent="0.25">
      <c r="B6" s="5">
        <v>1</v>
      </c>
      <c r="C6" s="17">
        <v>66</v>
      </c>
      <c r="D6" s="31" t="s">
        <v>24</v>
      </c>
      <c r="E6" s="31" t="s">
        <v>25</v>
      </c>
      <c r="F6" s="9" t="s">
        <v>27</v>
      </c>
      <c r="G6" s="7">
        <f>(419+412)/10.764</f>
        <v>77.201783723522865</v>
      </c>
      <c r="H6" s="28">
        <f>15/10.764</f>
        <v>1.3935340022296545</v>
      </c>
      <c r="I6" s="32">
        <f>14/10.764</f>
        <v>1.3006317354143442</v>
      </c>
      <c r="J6" s="7">
        <f>((61+61)/10.764)- 1.04</f>
        <v>10.294076551467857</v>
      </c>
      <c r="K6" s="8">
        <f>G6+H6+I6+J6</f>
        <v>90.190026012634718</v>
      </c>
      <c r="L6" s="78">
        <f>M6-K6</f>
        <v>-2.6012634720018468E-5</v>
      </c>
      <c r="M6" s="8">
        <v>90.19</v>
      </c>
      <c r="N6" s="17">
        <v>67.12</v>
      </c>
      <c r="O6" s="9" t="s">
        <v>3</v>
      </c>
      <c r="P6" s="10" t="s">
        <v>3</v>
      </c>
      <c r="R6" s="4"/>
    </row>
    <row r="7" spans="2:18" x14ac:dyDescent="0.25">
      <c r="B7" s="5">
        <v>2</v>
      </c>
      <c r="C7" s="18">
        <v>70</v>
      </c>
      <c r="D7" s="2" t="s">
        <v>24</v>
      </c>
      <c r="E7" s="2" t="s">
        <v>25</v>
      </c>
      <c r="F7" s="6" t="s">
        <v>27</v>
      </c>
      <c r="G7" s="11">
        <f>(380+373)/10.764</f>
        <v>69.955406911928662</v>
      </c>
      <c r="H7" s="29">
        <f>16/10.764</f>
        <v>1.4864362690449648</v>
      </c>
      <c r="I7" s="30">
        <f>14/10.764</f>
        <v>1.3006317354143442</v>
      </c>
      <c r="J7" s="7">
        <f>((55+55)/10.764) - 1.23</f>
        <v>8.9892493496841333</v>
      </c>
      <c r="K7" s="8">
        <f t="shared" ref="K7:K17" si="0">G7+H7+I7+J7</f>
        <v>81.731724266072092</v>
      </c>
      <c r="L7" s="79">
        <f t="shared" ref="L7:L17" si="1">M7-K7</f>
        <v>-1.7242660720881986E-3</v>
      </c>
      <c r="M7" s="8">
        <v>81.73</v>
      </c>
      <c r="N7" s="18">
        <v>55.74</v>
      </c>
      <c r="O7" s="9" t="s">
        <v>3</v>
      </c>
      <c r="P7" s="10" t="s">
        <v>3</v>
      </c>
    </row>
    <row r="8" spans="2:18" x14ac:dyDescent="0.25">
      <c r="B8" s="5">
        <v>3</v>
      </c>
      <c r="C8" s="18">
        <v>71</v>
      </c>
      <c r="D8" s="2" t="s">
        <v>24</v>
      </c>
      <c r="E8" s="2" t="s">
        <v>25</v>
      </c>
      <c r="F8" s="6" t="s">
        <v>27</v>
      </c>
      <c r="G8" s="11">
        <f>(408+407)/10.764</f>
        <v>75.715347454477893</v>
      </c>
      <c r="H8" s="29">
        <f>16/10.764</f>
        <v>1.4864362690449648</v>
      </c>
      <c r="I8" s="30">
        <f>14/10.764</f>
        <v>1.3006317354143442</v>
      </c>
      <c r="J8" s="7">
        <f>((56+57)/10.764)- 1.85</f>
        <v>8.6479561501300637</v>
      </c>
      <c r="K8" s="8">
        <f t="shared" si="0"/>
        <v>87.150371609067264</v>
      </c>
      <c r="L8" s="79">
        <f t="shared" si="1"/>
        <v>-3.71609067258305E-4</v>
      </c>
      <c r="M8" s="8">
        <v>87.15</v>
      </c>
      <c r="N8" s="18">
        <v>54.58</v>
      </c>
      <c r="O8" s="9" t="s">
        <v>3</v>
      </c>
      <c r="P8" s="10" t="s">
        <v>3</v>
      </c>
    </row>
    <row r="9" spans="2:18" x14ac:dyDescent="0.25">
      <c r="B9" s="5">
        <v>4</v>
      </c>
      <c r="C9" s="18">
        <v>72</v>
      </c>
      <c r="D9" s="2" t="s">
        <v>24</v>
      </c>
      <c r="E9" s="2" t="s">
        <v>25</v>
      </c>
      <c r="F9" s="6" t="s">
        <v>27</v>
      </c>
      <c r="G9" s="11">
        <f>(449+473)/10.764</f>
        <v>85.655890003716095</v>
      </c>
      <c r="H9" s="29">
        <f>46/10.764</f>
        <v>4.2735042735042734</v>
      </c>
      <c r="I9" s="30">
        <f>(30+29)/10.764</f>
        <v>5.4812337421033073</v>
      </c>
      <c r="J9" s="7">
        <f>(64+74)/10.764 +3.69</f>
        <v>16.510512820512822</v>
      </c>
      <c r="K9" s="8">
        <f t="shared" si="0"/>
        <v>111.92114083983651</v>
      </c>
      <c r="L9" s="79">
        <f t="shared" si="1"/>
        <v>-1.1408398365091443E-3</v>
      </c>
      <c r="M9" s="8">
        <v>111.92</v>
      </c>
      <c r="N9" s="18">
        <v>77.66</v>
      </c>
      <c r="O9" s="9">
        <v>1</v>
      </c>
      <c r="P9" s="10" t="s">
        <v>3</v>
      </c>
    </row>
    <row r="10" spans="2:18" x14ac:dyDescent="0.25">
      <c r="B10" s="5">
        <v>5</v>
      </c>
      <c r="C10" s="18">
        <v>74</v>
      </c>
      <c r="D10" s="2" t="s">
        <v>24</v>
      </c>
      <c r="E10" s="2" t="s">
        <v>25</v>
      </c>
      <c r="F10" s="6" t="s">
        <v>27</v>
      </c>
      <c r="G10" s="11">
        <f>(357+356)/10.764</f>
        <v>66.239316239316238</v>
      </c>
      <c r="H10" s="29">
        <f>24/10.764</f>
        <v>2.229654403567447</v>
      </c>
      <c r="I10" s="30">
        <f>21/10.764</f>
        <v>1.9509476031215163</v>
      </c>
      <c r="J10" s="7">
        <f>(60+57)/10.764-0.01</f>
        <v>10.859565217391305</v>
      </c>
      <c r="K10" s="8">
        <f t="shared" si="0"/>
        <v>81.279483463396517</v>
      </c>
      <c r="L10" s="79">
        <f t="shared" si="1"/>
        <v>5.1653660348449648E-4</v>
      </c>
      <c r="M10" s="8">
        <v>81.28</v>
      </c>
      <c r="N10" s="18">
        <v>54.58</v>
      </c>
      <c r="O10" s="9" t="s">
        <v>3</v>
      </c>
      <c r="P10" s="10" t="s">
        <v>3</v>
      </c>
    </row>
    <row r="11" spans="2:18" x14ac:dyDescent="0.25">
      <c r="B11" s="5">
        <v>6</v>
      </c>
      <c r="C11" s="18">
        <v>75</v>
      </c>
      <c r="D11" s="2" t="s">
        <v>24</v>
      </c>
      <c r="E11" s="2" t="s">
        <v>25</v>
      </c>
      <c r="F11" s="6" t="s">
        <v>27</v>
      </c>
      <c r="G11" s="11">
        <f>(419+412)/10.764</f>
        <v>77.201783723522865</v>
      </c>
      <c r="H11" s="11">
        <f>15/10.764</f>
        <v>1.3935340022296545</v>
      </c>
      <c r="I11" s="30">
        <f>14/10.764</f>
        <v>1.3006317354143442</v>
      </c>
      <c r="J11" s="7">
        <f>(61+62)/10.764 - 1.25</f>
        <v>10.176978818283168</v>
      </c>
      <c r="K11" s="8">
        <f t="shared" si="0"/>
        <v>90.072928279450025</v>
      </c>
      <c r="L11" s="79">
        <f t="shared" si="1"/>
        <v>-2.9282794500318232E-3</v>
      </c>
      <c r="M11" s="27">
        <v>90.07</v>
      </c>
      <c r="N11" s="14">
        <v>55.74</v>
      </c>
      <c r="O11" s="9" t="s">
        <v>3</v>
      </c>
      <c r="P11" s="10" t="s">
        <v>3</v>
      </c>
    </row>
    <row r="12" spans="2:18" x14ac:dyDescent="0.25">
      <c r="B12" s="5">
        <v>7</v>
      </c>
      <c r="C12" s="18">
        <v>76</v>
      </c>
      <c r="D12" s="2" t="s">
        <v>24</v>
      </c>
      <c r="E12" s="2" t="s">
        <v>25</v>
      </c>
      <c r="F12" s="6" t="s">
        <v>27</v>
      </c>
      <c r="G12" s="11">
        <f>(419+412)/10.764</f>
        <v>77.201783723522865</v>
      </c>
      <c r="H12" s="11">
        <f>15/10.764</f>
        <v>1.3935340022296545</v>
      </c>
      <c r="I12" s="30">
        <f>13/10.764</f>
        <v>1.2077294685990339</v>
      </c>
      <c r="J12" s="7">
        <f>(61+62)/10.764 - 1.16</f>
        <v>10.266978818283167</v>
      </c>
      <c r="K12" s="8">
        <f t="shared" si="0"/>
        <v>90.070026012634727</v>
      </c>
      <c r="L12" s="79">
        <f t="shared" si="1"/>
        <v>-2.6012634734229323E-5</v>
      </c>
      <c r="M12" s="27">
        <v>90.07</v>
      </c>
      <c r="N12" s="14">
        <v>55.74</v>
      </c>
      <c r="O12" s="9" t="s">
        <v>3</v>
      </c>
      <c r="P12" s="10" t="s">
        <v>3</v>
      </c>
    </row>
    <row r="13" spans="2:18" x14ac:dyDescent="0.25">
      <c r="B13" s="5">
        <v>8</v>
      </c>
      <c r="C13" s="18">
        <v>81</v>
      </c>
      <c r="D13" s="2" t="s">
        <v>24</v>
      </c>
      <c r="E13" s="2" t="s">
        <v>25</v>
      </c>
      <c r="F13" s="6" t="s">
        <v>27</v>
      </c>
      <c r="G13" s="11">
        <f>(412.73+405.81)/10.762</f>
        <v>76.05835346589852</v>
      </c>
      <c r="H13" s="11">
        <f>16.25/10.764</f>
        <v>1.5096618357487923</v>
      </c>
      <c r="I13" s="30">
        <f>13.5/10.764</f>
        <v>1.254180602006689</v>
      </c>
      <c r="J13" s="7">
        <f>(56.42+57)/10.764 - 1.25</f>
        <v>9.2869751021924944</v>
      </c>
      <c r="K13" s="8">
        <f t="shared" si="0"/>
        <v>88.109171005846491</v>
      </c>
      <c r="L13" s="79">
        <f t="shared" si="1"/>
        <v>8.2899415350823347E-4</v>
      </c>
      <c r="M13" s="27">
        <v>88.11</v>
      </c>
      <c r="N13" s="14">
        <v>55.74</v>
      </c>
      <c r="O13" s="9" t="s">
        <v>3</v>
      </c>
      <c r="P13" s="10" t="s">
        <v>3</v>
      </c>
    </row>
    <row r="14" spans="2:18" x14ac:dyDescent="0.25">
      <c r="B14" s="5">
        <v>9</v>
      </c>
      <c r="C14" s="18">
        <v>83</v>
      </c>
      <c r="D14" s="2" t="s">
        <v>24</v>
      </c>
      <c r="E14" s="2" t="s">
        <v>25</v>
      </c>
      <c r="F14" s="6" t="s">
        <v>27</v>
      </c>
      <c r="G14" s="11">
        <f>(418.73+411.97)/10.764</f>
        <v>77.173913043478265</v>
      </c>
      <c r="H14" s="11">
        <f>14.63/10.764</f>
        <v>1.3591601635079897</v>
      </c>
      <c r="I14" s="30">
        <f>13.5/10.764</f>
        <v>1.254180602006689</v>
      </c>
      <c r="J14" s="7">
        <f>(60.93+61.45)/10.764 - 1.09</f>
        <v>10.279379412857674</v>
      </c>
      <c r="K14" s="8">
        <f t="shared" si="0"/>
        <v>90.066633221850623</v>
      </c>
      <c r="L14" s="79">
        <f t="shared" si="1"/>
        <v>3.3667781493704751E-3</v>
      </c>
      <c r="M14" s="27">
        <v>90.07</v>
      </c>
      <c r="N14" s="14">
        <v>55.74</v>
      </c>
      <c r="O14" s="9" t="s">
        <v>3</v>
      </c>
      <c r="P14" s="10" t="s">
        <v>3</v>
      </c>
    </row>
    <row r="15" spans="2:18" x14ac:dyDescent="0.25">
      <c r="B15" s="5">
        <v>10</v>
      </c>
      <c r="C15" s="18">
        <v>84</v>
      </c>
      <c r="D15" s="2" t="s">
        <v>24</v>
      </c>
      <c r="E15" s="2" t="s">
        <v>25</v>
      </c>
      <c r="F15" s="6" t="s">
        <v>27</v>
      </c>
      <c r="G15" s="11">
        <f>(418.73+411.97)/10.764</f>
        <v>77.173913043478265</v>
      </c>
      <c r="H15" s="11">
        <f>14.63/10.764</f>
        <v>1.3591601635079897</v>
      </c>
      <c r="I15" s="30">
        <f>13.5/10.764</f>
        <v>1.254180602006689</v>
      </c>
      <c r="J15" s="7">
        <f>(60.93+61.45)/10.764 - 1.09</f>
        <v>10.279379412857674</v>
      </c>
      <c r="K15" s="8">
        <f t="shared" si="0"/>
        <v>90.066633221850623</v>
      </c>
      <c r="L15" s="79">
        <f t="shared" si="1"/>
        <v>3.3667781493704751E-3</v>
      </c>
      <c r="M15" s="27">
        <v>90.07</v>
      </c>
      <c r="N15" s="14">
        <v>55.74</v>
      </c>
      <c r="O15" s="9" t="s">
        <v>3</v>
      </c>
      <c r="P15" s="10" t="s">
        <v>3</v>
      </c>
    </row>
    <row r="16" spans="2:18" x14ac:dyDescent="0.25">
      <c r="B16" s="5">
        <v>11</v>
      </c>
      <c r="C16" s="18">
        <v>85</v>
      </c>
      <c r="D16" s="2" t="s">
        <v>24</v>
      </c>
      <c r="E16" s="2" t="s">
        <v>25</v>
      </c>
      <c r="F16" s="6" t="s">
        <v>27</v>
      </c>
      <c r="G16" s="11">
        <f>(381.52+380.85)/10.764</f>
        <v>70.82590115198812</v>
      </c>
      <c r="H16" s="11">
        <f>16.25/10.764</f>
        <v>1.5096618357487923</v>
      </c>
      <c r="I16" s="30">
        <f>13.5/10.764</f>
        <v>1.254180602006689</v>
      </c>
      <c r="J16" s="7">
        <f>(59.82+59.15)/10.764 - 1.79</f>
        <v>9.2625826830174667</v>
      </c>
      <c r="K16" s="8">
        <f t="shared" si="0"/>
        <v>82.852326272761061</v>
      </c>
      <c r="L16" s="79">
        <f t="shared" si="1"/>
        <v>-2.3262727610671163E-3</v>
      </c>
      <c r="M16" s="27">
        <v>82.85</v>
      </c>
      <c r="N16" s="14">
        <v>54.58</v>
      </c>
      <c r="O16" s="9" t="s">
        <v>3</v>
      </c>
      <c r="P16" s="10" t="s">
        <v>3</v>
      </c>
    </row>
    <row r="17" spans="2:16" ht="15.75" thickBot="1" x14ac:dyDescent="0.3">
      <c r="B17" s="33">
        <v>12</v>
      </c>
      <c r="C17" s="34">
        <v>86</v>
      </c>
      <c r="D17" s="35" t="s">
        <v>24</v>
      </c>
      <c r="E17" s="35" t="s">
        <v>25</v>
      </c>
      <c r="F17" s="36" t="s">
        <v>27</v>
      </c>
      <c r="G17" s="37">
        <f>(412.73+405.81)/10.764</f>
        <v>76.044221479004094</v>
      </c>
      <c r="H17" s="37">
        <f>16.25/10.764</f>
        <v>1.5096618357487923</v>
      </c>
      <c r="I17" s="38">
        <f>13.5/10.764</f>
        <v>1.254180602006689</v>
      </c>
      <c r="J17" s="39">
        <f>(56.43+57.11)/10.764 - 1.25</f>
        <v>9.2981233742103306</v>
      </c>
      <c r="K17" s="40">
        <f t="shared" si="0"/>
        <v>88.106187290969899</v>
      </c>
      <c r="L17" s="80">
        <f t="shared" si="1"/>
        <v>3.8127090301003363E-3</v>
      </c>
      <c r="M17" s="23">
        <v>88.11</v>
      </c>
      <c r="N17" s="41">
        <v>55.74</v>
      </c>
      <c r="O17" s="42" t="s">
        <v>3</v>
      </c>
      <c r="P17" s="43" t="s">
        <v>3</v>
      </c>
    </row>
    <row r="18" spans="2:16" ht="15.75" thickBot="1" x14ac:dyDescent="0.3">
      <c r="B18" s="88" t="s">
        <v>4</v>
      </c>
      <c r="C18" s="89"/>
      <c r="D18" s="89"/>
      <c r="E18" s="90"/>
      <c r="F18" s="26"/>
      <c r="G18" s="24">
        <f>SUM(G6:G17)</f>
        <v>906.44761396385479</v>
      </c>
      <c r="H18" s="26">
        <f t="shared" ref="H18:P18" si="2">SUM(H6:H17)</f>
        <v>20.903939056112968</v>
      </c>
      <c r="I18" s="24">
        <f>SUM(I6:I17)</f>
        <v>20.113340765514675</v>
      </c>
      <c r="J18" s="12">
        <f t="shared" si="2"/>
        <v>124.15175771088818</v>
      </c>
      <c r="K18" s="24">
        <f t="shared" si="2"/>
        <v>1071.6166514963707</v>
      </c>
      <c r="L18" s="81">
        <f t="shared" si="2"/>
        <v>3.3485036294251813E-3</v>
      </c>
      <c r="M18" s="12">
        <f t="shared" si="2"/>
        <v>1071.6200000000001</v>
      </c>
      <c r="N18" s="12">
        <f t="shared" si="2"/>
        <v>698.7</v>
      </c>
      <c r="O18" s="15">
        <f t="shared" si="2"/>
        <v>1</v>
      </c>
      <c r="P18" s="25">
        <f t="shared" si="2"/>
        <v>0</v>
      </c>
    </row>
    <row r="19" spans="2:16" ht="15.75" thickBot="1" x14ac:dyDescent="0.3">
      <c r="B19" s="20"/>
      <c r="C19" s="21"/>
      <c r="D19" s="21"/>
      <c r="E19" s="21"/>
      <c r="F19" s="21"/>
      <c r="G19" s="21"/>
      <c r="H19" s="21"/>
      <c r="I19" s="21"/>
      <c r="J19" s="16"/>
      <c r="K19" s="16"/>
      <c r="L19" s="16"/>
      <c r="M19" s="91" t="s">
        <v>14</v>
      </c>
      <c r="N19" s="92"/>
      <c r="O19" s="15" t="s">
        <v>3</v>
      </c>
      <c r="P19" s="22" t="s">
        <v>3</v>
      </c>
    </row>
    <row r="20" spans="2:16" ht="15.75" thickBot="1" x14ac:dyDescent="0.3">
      <c r="B20" s="20"/>
      <c r="C20" s="21"/>
      <c r="D20" s="21"/>
      <c r="E20" s="21"/>
      <c r="F20" s="21"/>
      <c r="G20" s="21"/>
      <c r="H20" s="21"/>
      <c r="I20" s="21"/>
      <c r="J20" s="16"/>
      <c r="K20" s="16"/>
      <c r="L20" s="16"/>
      <c r="M20" s="91" t="s">
        <v>15</v>
      </c>
      <c r="N20" s="92"/>
      <c r="O20" s="93">
        <v>1</v>
      </c>
      <c r="P20" s="94"/>
    </row>
    <row r="21" spans="2:16" x14ac:dyDescent="0.25">
      <c r="B21" s="19" t="s">
        <v>16</v>
      </c>
    </row>
    <row r="22" spans="2:16" x14ac:dyDescent="0.25">
      <c r="B22" s="19" t="s">
        <v>17</v>
      </c>
      <c r="C22" s="13"/>
    </row>
    <row r="23" spans="2:16" x14ac:dyDescent="0.25">
      <c r="B23" s="19" t="s">
        <v>18</v>
      </c>
      <c r="C23" s="13"/>
    </row>
    <row r="24" spans="2:16" x14ac:dyDescent="0.25">
      <c r="B24" s="19" t="s">
        <v>19</v>
      </c>
      <c r="C24" s="13"/>
    </row>
    <row r="25" spans="2:16" x14ac:dyDescent="0.25">
      <c r="B25" s="19" t="s">
        <v>20</v>
      </c>
      <c r="C25" s="13"/>
    </row>
    <row r="26" spans="2:16" x14ac:dyDescent="0.25">
      <c r="B26" s="19" t="s">
        <v>21</v>
      </c>
      <c r="C26" s="13"/>
    </row>
    <row r="27" spans="2:16" x14ac:dyDescent="0.25">
      <c r="B27" s="19" t="s">
        <v>22</v>
      </c>
      <c r="C27" s="13"/>
    </row>
    <row r="28" spans="2:16" ht="15.75" x14ac:dyDescent="0.25">
      <c r="C28" s="44"/>
    </row>
  </sheetData>
  <mergeCells count="20">
    <mergeCell ref="B2:P2"/>
    <mergeCell ref="B3:P3"/>
    <mergeCell ref="B4:B5"/>
    <mergeCell ref="C4:C5"/>
    <mergeCell ref="D4:D5"/>
    <mergeCell ref="E4:E5"/>
    <mergeCell ref="F4:F5"/>
    <mergeCell ref="G4:G5"/>
    <mergeCell ref="H4:H5"/>
    <mergeCell ref="I4:I5"/>
    <mergeCell ref="B18:E18"/>
    <mergeCell ref="M19:N19"/>
    <mergeCell ref="M20:N20"/>
    <mergeCell ref="O20:P20"/>
    <mergeCell ref="J4:J5"/>
    <mergeCell ref="K4:K5"/>
    <mergeCell ref="L4:L5"/>
    <mergeCell ref="M4:M5"/>
    <mergeCell ref="N4:N5"/>
    <mergeCell ref="O4:P4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SOC - 1A UDS abstract</vt:lpstr>
      <vt:lpstr>SOC- 1A as per latest pline</vt:lpstr>
      <vt:lpstr>'SOC - 1A UDS abstract'!Print_Area</vt:lpstr>
      <vt:lpstr>'SOC- 1A as per latest pline'!Print_Area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Shweta P N</dc:creator>
  <cp:lastModifiedBy>Shweta P N</cp:lastModifiedBy>
  <cp:lastPrinted>2026-04-13T12:10:00Z</cp:lastPrinted>
  <dcterms:created xsi:type="dcterms:W3CDTF">2025-09-27T11:36:17Z</dcterms:created>
  <dcterms:modified xsi:type="dcterms:W3CDTF">2026-04-13T12:10:08Z</dcterms:modified>
</cp:coreProperties>
</file>