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3250" windowHeight="12450" firstSheet="1" activeTab="1"/>
  </bookViews>
  <sheets>
    <sheet name="Area" sheetId="1" state="hidden" r:id="rId1"/>
    <sheet name="RERA " sheetId="11" r:id="rId2"/>
    <sheet name="Area Statement Opt-A2 with pool" sheetId="8" state="hidden" r:id="rId3"/>
    <sheet name="Sheet1" sheetId="12" r:id="rId4"/>
  </sheets>
  <definedNames>
    <definedName name="Excel_BuiltIn__FilterDatabase_1">Area!$B$40:$J$42</definedName>
    <definedName name="Excel_BuiltIn_Print_Area_2_1" localSheetId="1">#REF!</definedName>
    <definedName name="Excel_BuiltIn_Print_Area_2_1">#REF!</definedName>
    <definedName name="Excel_BuiltIn_Print_Titles_2" localSheetId="1">#REF!</definedName>
    <definedName name="Excel_BuiltIn_Print_Titles_2">#REF!</definedName>
    <definedName name="_xlnm.Print_Area" localSheetId="2">'Area Statement Opt-A2 with pool'!$A$1:$J$173</definedName>
    <definedName name="_xlnm.Print_Area" localSheetId="1">'RERA '!$A$1:$P$250</definedName>
    <definedName name="_xlnm.Print_Titles" localSheetId="1">'RERA '!$2:$5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0" i="11"/>
  <c r="L240" s="1"/>
  <c r="J240"/>
  <c r="M238"/>
  <c r="L238" s="1"/>
  <c r="J238"/>
  <c r="M236"/>
  <c r="L236" s="1"/>
  <c r="J236"/>
  <c r="M234"/>
  <c r="L234" s="1"/>
  <c r="J234"/>
  <c r="M232"/>
  <c r="L232" s="1"/>
  <c r="J232"/>
  <c r="M230"/>
  <c r="L230"/>
  <c r="J230"/>
  <c r="M228"/>
  <c r="L228" s="1"/>
  <c r="J228"/>
  <c r="M226"/>
  <c r="L226" s="1"/>
  <c r="J226"/>
  <c r="M224"/>
  <c r="L224" s="1"/>
  <c r="J224"/>
  <c r="M222"/>
  <c r="L222" s="1"/>
  <c r="J222"/>
  <c r="M220"/>
  <c r="L220" s="1"/>
  <c r="J220"/>
  <c r="M218"/>
  <c r="L218" s="1"/>
  <c r="J218"/>
  <c r="M216"/>
  <c r="L216" s="1"/>
  <c r="J216"/>
  <c r="M214"/>
  <c r="L214" s="1"/>
  <c r="J214"/>
  <c r="M212"/>
  <c r="L212" s="1"/>
  <c r="J212"/>
  <c r="M210"/>
  <c r="L210" s="1"/>
  <c r="J210"/>
  <c r="M208"/>
  <c r="L208" s="1"/>
  <c r="J208"/>
  <c r="M206"/>
  <c r="L206" s="1"/>
  <c r="J206"/>
  <c r="M203"/>
  <c r="L203" s="1"/>
  <c r="J203"/>
  <c r="M201"/>
  <c r="L201" s="1"/>
  <c r="J201"/>
  <c r="M199"/>
  <c r="L199" s="1"/>
  <c r="J199"/>
  <c r="M197"/>
  <c r="L197" s="1"/>
  <c r="J197"/>
  <c r="M195"/>
  <c r="L195" s="1"/>
  <c r="J195"/>
  <c r="M192"/>
  <c r="L192" s="1"/>
  <c r="J192"/>
  <c r="M190"/>
  <c r="L190" s="1"/>
  <c r="J190"/>
  <c r="M188"/>
  <c r="L188" s="1"/>
  <c r="J188"/>
  <c r="M186"/>
  <c r="L186" s="1"/>
  <c r="J186"/>
  <c r="M184"/>
  <c r="L184" s="1"/>
  <c r="J184"/>
  <c r="M182"/>
  <c r="L182" s="1"/>
  <c r="J182"/>
  <c r="M180"/>
  <c r="L180" s="1"/>
  <c r="J180"/>
  <c r="M178"/>
  <c r="L178" s="1"/>
  <c r="J178"/>
  <c r="M176"/>
  <c r="L176" s="1"/>
  <c r="J176"/>
  <c r="M174"/>
  <c r="L174" s="1"/>
  <c r="J174"/>
  <c r="M172"/>
  <c r="L172" s="1"/>
  <c r="J172"/>
  <c r="M170"/>
  <c r="L170" s="1"/>
  <c r="J170"/>
  <c r="M168"/>
  <c r="L168" s="1"/>
  <c r="J168"/>
  <c r="M166"/>
  <c r="L166" s="1"/>
  <c r="J166"/>
  <c r="M164"/>
  <c r="L164" s="1"/>
  <c r="J164"/>
  <c r="M162"/>
  <c r="L162" s="1"/>
  <c r="J162"/>
  <c r="M160"/>
  <c r="L160" s="1"/>
  <c r="J160"/>
  <c r="M158"/>
  <c r="L158" s="1"/>
  <c r="J158"/>
  <c r="M155"/>
  <c r="L155" s="1"/>
  <c r="J155"/>
  <c r="M153"/>
  <c r="L153" s="1"/>
  <c r="J153"/>
  <c r="M151"/>
  <c r="L151" s="1"/>
  <c r="J151"/>
  <c r="M149"/>
  <c r="L149" s="1"/>
  <c r="J149"/>
  <c r="M147"/>
  <c r="L147" s="1"/>
  <c r="J147"/>
  <c r="M144"/>
  <c r="L144"/>
  <c r="J144"/>
  <c r="M142"/>
  <c r="L142" s="1"/>
  <c r="J142"/>
  <c r="M140"/>
  <c r="L140" s="1"/>
  <c r="J140"/>
  <c r="M138"/>
  <c r="L138" s="1"/>
  <c r="J138"/>
  <c r="M136"/>
  <c r="L136" s="1"/>
  <c r="J136"/>
  <c r="M134"/>
  <c r="L134" s="1"/>
  <c r="J134"/>
  <c r="M132"/>
  <c r="L132" s="1"/>
  <c r="J132"/>
  <c r="M130"/>
  <c r="L130" s="1"/>
  <c r="J130"/>
  <c r="M128"/>
  <c r="L128" s="1"/>
  <c r="J128"/>
  <c r="M126"/>
  <c r="L126" s="1"/>
  <c r="J126"/>
  <c r="M124"/>
  <c r="L124" s="1"/>
  <c r="J124"/>
  <c r="M122"/>
  <c r="L122" s="1"/>
  <c r="J122"/>
  <c r="M120"/>
  <c r="L120" s="1"/>
  <c r="J120"/>
  <c r="M118"/>
  <c r="L118" s="1"/>
  <c r="J118"/>
  <c r="M116"/>
  <c r="L116" s="1"/>
  <c r="J116"/>
  <c r="M114"/>
  <c r="L114" s="1"/>
  <c r="J114"/>
  <c r="M112"/>
  <c r="L112" s="1"/>
  <c r="J112"/>
  <c r="M110"/>
  <c r="L110" s="1"/>
  <c r="J110"/>
  <c r="M107"/>
  <c r="L107" s="1"/>
  <c r="J107"/>
  <c r="M105"/>
  <c r="L105" s="1"/>
  <c r="J105"/>
  <c r="M103"/>
  <c r="L103" s="1"/>
  <c r="J103"/>
  <c r="M101"/>
  <c r="L101" s="1"/>
  <c r="J101"/>
  <c r="M99"/>
  <c r="L99" s="1"/>
  <c r="J99"/>
  <c r="K244" l="1"/>
  <c r="J7"/>
  <c r="J96" l="1"/>
  <c r="J94"/>
  <c r="J92"/>
  <c r="J90"/>
  <c r="J88"/>
  <c r="J86"/>
  <c r="J84"/>
  <c r="J82"/>
  <c r="J80"/>
  <c r="J78"/>
  <c r="J76"/>
  <c r="J74"/>
  <c r="J72"/>
  <c r="J70"/>
  <c r="J68"/>
  <c r="J66"/>
  <c r="J64"/>
  <c r="J62"/>
  <c r="J59"/>
  <c r="J57"/>
  <c r="J55"/>
  <c r="J53"/>
  <c r="J51"/>
  <c r="J48"/>
  <c r="J46"/>
  <c r="J44"/>
  <c r="J42"/>
  <c r="J40"/>
  <c r="J38"/>
  <c r="J34"/>
  <c r="J32"/>
  <c r="J30"/>
  <c r="J28"/>
  <c r="J26"/>
  <c r="J22"/>
  <c r="J20"/>
  <c r="J18"/>
  <c r="J15"/>
  <c r="J13"/>
  <c r="J11"/>
  <c r="J9"/>
  <c r="J24" l="1"/>
  <c r="J36"/>
  <c r="M48"/>
  <c r="L48" s="1"/>
  <c r="M96"/>
  <c r="L96" s="1"/>
  <c r="M9"/>
  <c r="L9" s="1"/>
  <c r="M53"/>
  <c r="L53" s="1"/>
  <c r="M11"/>
  <c r="L11" s="1"/>
  <c r="M7"/>
  <c r="M94"/>
  <c r="L94" s="1"/>
  <c r="M92"/>
  <c r="L92" s="1"/>
  <c r="M90"/>
  <c r="L90" s="1"/>
  <c r="M88"/>
  <c r="L88" s="1"/>
  <c r="M86"/>
  <c r="L86" s="1"/>
  <c r="M84"/>
  <c r="L84" s="1"/>
  <c r="M82"/>
  <c r="L82" s="1"/>
  <c r="M80"/>
  <c r="L80" s="1"/>
  <c r="M78"/>
  <c r="L78" s="1"/>
  <c r="M76"/>
  <c r="L76" s="1"/>
  <c r="M74"/>
  <c r="L74" s="1"/>
  <c r="M72"/>
  <c r="L72" s="1"/>
  <c r="M70"/>
  <c r="L70" s="1"/>
  <c r="M68"/>
  <c r="L68" s="1"/>
  <c r="M66"/>
  <c r="L66" s="1"/>
  <c r="M64"/>
  <c r="L64" s="1"/>
  <c r="M62"/>
  <c r="L62" s="1"/>
  <c r="M59"/>
  <c r="L59" s="1"/>
  <c r="M57"/>
  <c r="L57" s="1"/>
  <c r="M55"/>
  <c r="L55" s="1"/>
  <c r="M51"/>
  <c r="L51" s="1"/>
  <c r="M46"/>
  <c r="L46" s="1"/>
  <c r="M44"/>
  <c r="L44" s="1"/>
  <c r="M42"/>
  <c r="L42" s="1"/>
  <c r="M40"/>
  <c r="L40" s="1"/>
  <c r="M38"/>
  <c r="L38" s="1"/>
  <c r="M36"/>
  <c r="L36" s="1"/>
  <c r="M34"/>
  <c r="L34" s="1"/>
  <c r="M32"/>
  <c r="L32" s="1"/>
  <c r="M30"/>
  <c r="L30" s="1"/>
  <c r="M28"/>
  <c r="L28" s="1"/>
  <c r="M26"/>
  <c r="L26" s="1"/>
  <c r="M18"/>
  <c r="L18" s="1"/>
  <c r="M24"/>
  <c r="L24" s="1"/>
  <c r="M22"/>
  <c r="L22" s="1"/>
  <c r="M20"/>
  <c r="L20" s="1"/>
  <c r="M15"/>
  <c r="L15" s="1"/>
  <c r="M13"/>
  <c r="L13" s="1"/>
  <c r="O245"/>
  <c r="G244"/>
  <c r="H244"/>
  <c r="L7" l="1"/>
  <c r="J244"/>
  <c r="M244" l="1"/>
  <c r="F244"/>
  <c r="G249" l="1"/>
  <c r="I248" s="1"/>
  <c r="N34" s="1"/>
  <c r="N210" l="1"/>
  <c r="N120"/>
  <c r="N134"/>
  <c r="N101"/>
  <c r="N116"/>
  <c r="N130"/>
  <c r="N144"/>
  <c r="N112"/>
  <c r="N126"/>
  <c r="N140"/>
  <c r="N107"/>
  <c r="N122"/>
  <c r="N128"/>
  <c r="N142"/>
  <c r="N110"/>
  <c r="N124"/>
  <c r="N138"/>
  <c r="N105"/>
  <c r="N136"/>
  <c r="N103"/>
  <c r="N118"/>
  <c r="N132"/>
  <c r="N99"/>
  <c r="N114"/>
  <c r="N36"/>
  <c r="N92"/>
  <c r="N46"/>
  <c r="N55"/>
  <c r="N9"/>
  <c r="N216"/>
  <c r="N197"/>
  <c r="N190"/>
  <c r="N158"/>
  <c r="N172"/>
  <c r="N186"/>
  <c r="N153"/>
  <c r="N168"/>
  <c r="N166"/>
  <c r="N180"/>
  <c r="N147"/>
  <c r="N162"/>
  <c r="N176"/>
  <c r="N174"/>
  <c r="N188"/>
  <c r="N155"/>
  <c r="N170"/>
  <c r="N184"/>
  <c r="N151"/>
  <c r="N182"/>
  <c r="N149"/>
  <c r="N164"/>
  <c r="N178"/>
  <c r="N192"/>
  <c r="N160"/>
  <c r="N48"/>
  <c r="N59"/>
  <c r="N66"/>
  <c r="N24"/>
  <c r="N220"/>
  <c r="N53"/>
  <c r="N88"/>
  <c r="N230"/>
  <c r="N206"/>
  <c r="N238"/>
  <c r="N20"/>
  <c r="N13"/>
  <c r="N94"/>
  <c r="N212"/>
  <c r="N84"/>
  <c r="N201"/>
  <c r="N57"/>
  <c r="N90"/>
  <c r="N208"/>
  <c r="N240"/>
  <c r="N80"/>
  <c r="N15"/>
  <c r="N18"/>
  <c r="N28"/>
  <c r="N40"/>
  <c r="N30"/>
  <c r="N78"/>
  <c r="N203"/>
  <c r="N236"/>
  <c r="N76"/>
  <c r="N226"/>
  <c r="N86"/>
  <c r="N82"/>
  <c r="N199"/>
  <c r="N232"/>
  <c r="N72"/>
  <c r="N222"/>
  <c r="N11"/>
  <c r="N26"/>
  <c r="N38"/>
  <c r="N51"/>
  <c r="N234"/>
  <c r="N44"/>
  <c r="N42"/>
  <c r="N32"/>
  <c r="N22"/>
  <c r="N62"/>
  <c r="N195"/>
  <c r="N228"/>
  <c r="N68"/>
  <c r="N218"/>
  <c r="N70"/>
  <c r="N74"/>
  <c r="N224"/>
  <c r="N64"/>
  <c r="N96"/>
  <c r="N214"/>
  <c r="N7"/>
  <c r="L244"/>
  <c r="D170" i="8"/>
  <c r="M144"/>
  <c r="M145" s="1"/>
  <c r="N244" i="11" l="1"/>
  <c r="D56" i="8"/>
  <c r="D73"/>
  <c r="D90"/>
  <c r="D105"/>
  <c r="D120"/>
  <c r="D135"/>
  <c r="D139" s="1"/>
  <c r="M134" l="1"/>
  <c r="M135" s="1"/>
  <c r="D138" l="1"/>
  <c r="D150" l="1"/>
  <c r="M6"/>
  <c r="M7" s="1"/>
  <c r="D165"/>
  <c r="D148"/>
  <c r="D151" s="1"/>
  <c r="D36"/>
  <c r="D39" s="1"/>
  <c r="D17"/>
  <c r="D20" s="1"/>
  <c r="O24" i="1"/>
  <c r="O25" s="1"/>
  <c r="J8"/>
  <c r="K8" s="1"/>
  <c r="N11"/>
  <c r="P185"/>
  <c r="P184"/>
  <c r="P183"/>
  <c r="P182"/>
  <c r="P181"/>
  <c r="P180"/>
  <c r="P179"/>
  <c r="P178"/>
  <c r="P177"/>
  <c r="P176"/>
  <c r="P162"/>
  <c r="P161"/>
  <c r="P160"/>
  <c r="P159"/>
  <c r="P158"/>
  <c r="P144"/>
  <c r="P143"/>
  <c r="P142"/>
  <c r="P141"/>
  <c r="P140"/>
  <c r="P139"/>
  <c r="P138"/>
  <c r="P137"/>
  <c r="P136"/>
  <c r="P135"/>
  <c r="P101"/>
  <c r="P102"/>
  <c r="P103"/>
  <c r="P104"/>
  <c r="P105"/>
  <c r="P106"/>
  <c r="P107"/>
  <c r="P108"/>
  <c r="P109"/>
  <c r="P110"/>
  <c r="P111"/>
  <c r="P100"/>
  <c r="P74"/>
  <c r="P75"/>
  <c r="P76"/>
  <c r="P77"/>
  <c r="P78"/>
  <c r="P79"/>
  <c r="P80"/>
  <c r="P81"/>
  <c r="P82"/>
  <c r="P83"/>
  <c r="P73"/>
  <c r="P41"/>
  <c r="P42"/>
  <c r="P43"/>
  <c r="P44"/>
  <c r="P45"/>
  <c r="P46"/>
  <c r="P47"/>
  <c r="P48"/>
  <c r="P49"/>
  <c r="P50"/>
  <c r="P51"/>
  <c r="P40"/>
  <c r="H11"/>
  <c r="J11" s="1"/>
  <c r="O110"/>
  <c r="O109"/>
  <c r="O108"/>
  <c r="O107"/>
  <c r="O106"/>
  <c r="O105"/>
  <c r="O104"/>
  <c r="O103"/>
  <c r="O83"/>
  <c r="O82"/>
  <c r="O81"/>
  <c r="O77"/>
  <c r="J14"/>
  <c r="K14" s="1"/>
  <c r="O40"/>
  <c r="O41"/>
  <c r="O42"/>
  <c r="O43"/>
  <c r="O44"/>
  <c r="O45"/>
  <c r="O46"/>
  <c r="O47"/>
  <c r="O48"/>
  <c r="O49"/>
  <c r="O50"/>
  <c r="O51"/>
  <c r="D52"/>
  <c r="D54" s="1"/>
  <c r="E52"/>
  <c r="I52"/>
  <c r="I54" s="1"/>
  <c r="L52"/>
  <c r="O73"/>
  <c r="O74"/>
  <c r="O75"/>
  <c r="O76"/>
  <c r="O78"/>
  <c r="O79"/>
  <c r="O80"/>
  <c r="O84"/>
  <c r="D85"/>
  <c r="D87" s="1"/>
  <c r="E85"/>
  <c r="E87" s="1"/>
  <c r="I85"/>
  <c r="I87" s="1"/>
  <c r="L85"/>
  <c r="O100"/>
  <c r="O101"/>
  <c r="O102"/>
  <c r="O111"/>
  <c r="D113"/>
  <c r="D115" s="1"/>
  <c r="E113"/>
  <c r="E115" s="1"/>
  <c r="I113"/>
  <c r="I115" s="1"/>
  <c r="L113"/>
  <c r="O135"/>
  <c r="O136"/>
  <c r="O137"/>
  <c r="O138"/>
  <c r="O139"/>
  <c r="O140"/>
  <c r="O141"/>
  <c r="O142"/>
  <c r="O143"/>
  <c r="O144"/>
  <c r="D145"/>
  <c r="D147"/>
  <c r="E145"/>
  <c r="E147" s="1"/>
  <c r="I145"/>
  <c r="I147" s="1"/>
  <c r="L145"/>
  <c r="O158"/>
  <c r="O159"/>
  <c r="O160"/>
  <c r="O161"/>
  <c r="O162"/>
  <c r="D163"/>
  <c r="D165" s="1"/>
  <c r="E163"/>
  <c r="E165" s="1"/>
  <c r="I163"/>
  <c r="I165" s="1"/>
  <c r="L163"/>
  <c r="O176"/>
  <c r="O177"/>
  <c r="O178"/>
  <c r="O179"/>
  <c r="O180"/>
  <c r="O181"/>
  <c r="O182"/>
  <c r="O183"/>
  <c r="O184"/>
  <c r="O185"/>
  <c r="D186"/>
  <c r="D188"/>
  <c r="E186"/>
  <c r="E188" s="1"/>
  <c r="I186"/>
  <c r="I188" s="1"/>
  <c r="L186"/>
  <c r="E54"/>
  <c r="O52" l="1"/>
  <c r="O186"/>
  <c r="O85"/>
  <c r="O145"/>
  <c r="O163"/>
  <c r="O113"/>
  <c r="E11"/>
  <c r="G11" s="1"/>
  <c r="K11" s="1"/>
  <c r="K20" s="1"/>
  <c r="P113"/>
  <c r="P146"/>
  <c r="J20"/>
  <c r="H23" s="1"/>
  <c r="P164"/>
  <c r="D190"/>
  <c r="P52"/>
  <c r="P85"/>
  <c r="P187"/>
  <c r="E190"/>
  <c r="I190"/>
  <c r="D171" i="8"/>
  <c r="E170" s="1"/>
  <c r="E138"/>
  <c r="D38"/>
  <c r="E38" s="1"/>
  <c r="D168"/>
  <c r="O188" i="1" l="1"/>
  <c r="E20"/>
  <c r="G20"/>
  <c r="J27" s="1"/>
  <c r="L26" s="1"/>
  <c r="E118" i="8"/>
  <c r="E116"/>
  <c r="E114"/>
  <c r="E112"/>
  <c r="E110"/>
  <c r="E103"/>
  <c r="E101"/>
  <c r="E97"/>
  <c r="E95"/>
  <c r="E89"/>
  <c r="E85"/>
  <c r="E83"/>
  <c r="E81"/>
  <c r="E79"/>
  <c r="E72"/>
  <c r="E70"/>
  <c r="E68"/>
  <c r="E66"/>
  <c r="E64"/>
  <c r="E62"/>
  <c r="E119"/>
  <c r="E117"/>
  <c r="E115"/>
  <c r="E113"/>
  <c r="E111"/>
  <c r="E104"/>
  <c r="E102"/>
  <c r="E98"/>
  <c r="E96"/>
  <c r="E86"/>
  <c r="E84"/>
  <c r="E82"/>
  <c r="E80"/>
  <c r="E78"/>
  <c r="E71"/>
  <c r="E69"/>
  <c r="E67"/>
  <c r="E65"/>
  <c r="E63"/>
  <c r="E61"/>
  <c r="E44"/>
  <c r="E133"/>
  <c r="E131"/>
  <c r="E127"/>
  <c r="E125"/>
  <c r="E134"/>
  <c r="E132"/>
  <c r="E128"/>
  <c r="E126"/>
  <c r="F164"/>
  <c r="F71"/>
  <c r="F69"/>
  <c r="F67"/>
  <c r="F65"/>
  <c r="F63"/>
  <c r="F61"/>
  <c r="F89"/>
  <c r="F85"/>
  <c r="F83"/>
  <c r="F81"/>
  <c r="F79"/>
  <c r="F103"/>
  <c r="G103" s="1"/>
  <c r="H103" s="1"/>
  <c r="J103" s="1"/>
  <c r="F101"/>
  <c r="G101" s="1"/>
  <c r="H101" s="1"/>
  <c r="J101" s="1"/>
  <c r="F97"/>
  <c r="F95"/>
  <c r="F118"/>
  <c r="F116"/>
  <c r="F114"/>
  <c r="F112"/>
  <c r="F110"/>
  <c r="F133"/>
  <c r="F131"/>
  <c r="F127"/>
  <c r="F125"/>
  <c r="F72"/>
  <c r="F70"/>
  <c r="F68"/>
  <c r="F66"/>
  <c r="F64"/>
  <c r="F62"/>
  <c r="F86"/>
  <c r="F84"/>
  <c r="F82"/>
  <c r="F80"/>
  <c r="F78"/>
  <c r="F104"/>
  <c r="F102"/>
  <c r="F98"/>
  <c r="F96"/>
  <c r="F119"/>
  <c r="F117"/>
  <c r="F115"/>
  <c r="F113"/>
  <c r="F111"/>
  <c r="F134"/>
  <c r="F132"/>
  <c r="F128"/>
  <c r="F126"/>
  <c r="D19"/>
  <c r="E19" s="1"/>
  <c r="E15" s="1"/>
  <c r="F12"/>
  <c r="F8"/>
  <c r="F27"/>
  <c r="F6"/>
  <c r="F10"/>
  <c r="F16"/>
  <c r="F34"/>
  <c r="F5"/>
  <c r="F7"/>
  <c r="F9"/>
  <c r="F11"/>
  <c r="F14"/>
  <c r="F25"/>
  <c r="F30"/>
  <c r="F46"/>
  <c r="F13"/>
  <c r="F15"/>
  <c r="F24"/>
  <c r="F26"/>
  <c r="F28"/>
  <c r="F32"/>
  <c r="F44"/>
  <c r="F50"/>
  <c r="F29"/>
  <c r="F31"/>
  <c r="F33"/>
  <c r="F35"/>
  <c r="F45"/>
  <c r="F48"/>
  <c r="F52"/>
  <c r="F47"/>
  <c r="F49"/>
  <c r="F51"/>
  <c r="F55"/>
  <c r="F144"/>
  <c r="F143"/>
  <c r="F145"/>
  <c r="F146"/>
  <c r="F147"/>
  <c r="F155"/>
  <c r="F156"/>
  <c r="F157"/>
  <c r="F158"/>
  <c r="F159"/>
  <c r="F160"/>
  <c r="F161"/>
  <c r="F163"/>
  <c r="F162"/>
  <c r="E55"/>
  <c r="E50"/>
  <c r="E46"/>
  <c r="E52"/>
  <c r="E48"/>
  <c r="E34"/>
  <c r="G34" s="1"/>
  <c r="H34" s="1"/>
  <c r="J34" s="1"/>
  <c r="E33"/>
  <c r="E29"/>
  <c r="E25"/>
  <c r="E35"/>
  <c r="G35" s="1"/>
  <c r="H35" s="1"/>
  <c r="J35" s="1"/>
  <c r="E31"/>
  <c r="E27"/>
  <c r="E24"/>
  <c r="E26"/>
  <c r="E28"/>
  <c r="E30"/>
  <c r="E32"/>
  <c r="E45"/>
  <c r="E47"/>
  <c r="E49"/>
  <c r="E51"/>
  <c r="H24" i="1" l="1"/>
  <c r="J23" s="1"/>
  <c r="G96" i="8"/>
  <c r="H96" s="1"/>
  <c r="J96" s="1"/>
  <c r="G98"/>
  <c r="H98" s="1"/>
  <c r="J98" s="1"/>
  <c r="G102"/>
  <c r="H102" s="1"/>
  <c r="J102" s="1"/>
  <c r="G104"/>
  <c r="H104" s="1"/>
  <c r="J104" s="1"/>
  <c r="G50" i="1"/>
  <c r="G110"/>
  <c r="G73"/>
  <c r="G136"/>
  <c r="G111"/>
  <c r="G75"/>
  <c r="G177"/>
  <c r="G77"/>
  <c r="G84"/>
  <c r="G83"/>
  <c r="G182"/>
  <c r="G140"/>
  <c r="G40"/>
  <c r="G78"/>
  <c r="G42"/>
  <c r="G143"/>
  <c r="G51"/>
  <c r="G184"/>
  <c r="G144"/>
  <c r="G48"/>
  <c r="G139"/>
  <c r="G158"/>
  <c r="G82"/>
  <c r="G41"/>
  <c r="G49"/>
  <c r="G106"/>
  <c r="G142"/>
  <c r="G80"/>
  <c r="G102"/>
  <c r="G107"/>
  <c r="G183"/>
  <c r="G47"/>
  <c r="G160"/>
  <c r="G105"/>
  <c r="G76"/>
  <c r="G161"/>
  <c r="G74"/>
  <c r="G159"/>
  <c r="G135"/>
  <c r="G162"/>
  <c r="G79"/>
  <c r="G109"/>
  <c r="G141"/>
  <c r="G103"/>
  <c r="G185"/>
  <c r="G46"/>
  <c r="G44"/>
  <c r="G181"/>
  <c r="G101"/>
  <c r="G45"/>
  <c r="G100"/>
  <c r="G43"/>
  <c r="G137"/>
  <c r="G179"/>
  <c r="G138"/>
  <c r="G178"/>
  <c r="G81"/>
  <c r="G180"/>
  <c r="G108"/>
  <c r="G176"/>
  <c r="G104"/>
  <c r="F100"/>
  <c r="F77"/>
  <c r="H77" s="1"/>
  <c r="J77" s="1"/>
  <c r="K77" s="1"/>
  <c r="F83"/>
  <c r="F159"/>
  <c r="F48"/>
  <c r="F74"/>
  <c r="H74" s="1"/>
  <c r="J74" s="1"/>
  <c r="K74" s="1"/>
  <c r="F84"/>
  <c r="F47"/>
  <c r="H47" s="1"/>
  <c r="J47" s="1"/>
  <c r="K47" s="1"/>
  <c r="F162"/>
  <c r="H162" s="1"/>
  <c r="J162" s="1"/>
  <c r="K162" s="1"/>
  <c r="F42"/>
  <c r="H42" s="1"/>
  <c r="J42" s="1"/>
  <c r="K42" s="1"/>
  <c r="F180"/>
  <c r="F141"/>
  <c r="F41"/>
  <c r="H41" s="1"/>
  <c r="J41" s="1"/>
  <c r="K41" s="1"/>
  <c r="F109"/>
  <c r="F176"/>
  <c r="F140"/>
  <c r="F139"/>
  <c r="H139" s="1"/>
  <c r="J139" s="1"/>
  <c r="K139" s="1"/>
  <c r="F137"/>
  <c r="H137" s="1"/>
  <c r="J137" s="1"/>
  <c r="K137" s="1"/>
  <c r="F144"/>
  <c r="F73"/>
  <c r="F79"/>
  <c r="F104"/>
  <c r="H104" s="1"/>
  <c r="J104" s="1"/>
  <c r="K104" s="1"/>
  <c r="F43"/>
  <c r="H43" s="1"/>
  <c r="J43" s="1"/>
  <c r="K43" s="1"/>
  <c r="F105"/>
  <c r="F136"/>
  <c r="F78"/>
  <c r="F161"/>
  <c r="F75"/>
  <c r="F177"/>
  <c r="F106"/>
  <c r="F45"/>
  <c r="F182"/>
  <c r="F107"/>
  <c r="H107" s="1"/>
  <c r="J107" s="1"/>
  <c r="K107" s="1"/>
  <c r="F110"/>
  <c r="F160"/>
  <c r="F143"/>
  <c r="H143" s="1"/>
  <c r="J143" s="1"/>
  <c r="K143" s="1"/>
  <c r="F111"/>
  <c r="H111" s="1"/>
  <c r="J111" s="1"/>
  <c r="K111" s="1"/>
  <c r="F81"/>
  <c r="H81" s="1"/>
  <c r="J81" s="1"/>
  <c r="K81" s="1"/>
  <c r="F82"/>
  <c r="F51"/>
  <c r="F142"/>
  <c r="F103"/>
  <c r="F76"/>
  <c r="F49"/>
  <c r="H49" s="1"/>
  <c r="J49" s="1"/>
  <c r="K49" s="1"/>
  <c r="F179"/>
  <c r="H179" s="1"/>
  <c r="J179" s="1"/>
  <c r="K179" s="1"/>
  <c r="F183"/>
  <c r="F185"/>
  <c r="H185" s="1"/>
  <c r="J185" s="1"/>
  <c r="K185" s="1"/>
  <c r="F101"/>
  <c r="F50"/>
  <c r="F102"/>
  <c r="H102" s="1"/>
  <c r="J102" s="1"/>
  <c r="K102" s="1"/>
  <c r="F46"/>
  <c r="F181"/>
  <c r="F178"/>
  <c r="F135"/>
  <c r="F40"/>
  <c r="F158"/>
  <c r="F80"/>
  <c r="F44"/>
  <c r="F184"/>
  <c r="F138"/>
  <c r="H138" s="1"/>
  <c r="J138" s="1"/>
  <c r="K138" s="1"/>
  <c r="F108"/>
  <c r="F17" i="8"/>
  <c r="G97"/>
  <c r="H97" s="1"/>
  <c r="J97" s="1"/>
  <c r="G86"/>
  <c r="H86" s="1"/>
  <c r="J86" s="1"/>
  <c r="G79"/>
  <c r="H79" s="1"/>
  <c r="J79" s="1"/>
  <c r="G89"/>
  <c r="H89" s="1"/>
  <c r="J89" s="1"/>
  <c r="G84"/>
  <c r="H84" s="1"/>
  <c r="J84" s="1"/>
  <c r="G85"/>
  <c r="H85" s="1"/>
  <c r="J85" s="1"/>
  <c r="G113"/>
  <c r="H113" s="1"/>
  <c r="J113" s="1"/>
  <c r="G112"/>
  <c r="H112" s="1"/>
  <c r="J112" s="1"/>
  <c r="G82"/>
  <c r="H82" s="1"/>
  <c r="J82" s="1"/>
  <c r="G83"/>
  <c r="H83" s="1"/>
  <c r="J83" s="1"/>
  <c r="F165"/>
  <c r="G46"/>
  <c r="H46" s="1"/>
  <c r="J46" s="1"/>
  <c r="G48"/>
  <c r="H48" s="1"/>
  <c r="J48" s="1"/>
  <c r="G111"/>
  <c r="H111" s="1"/>
  <c r="J111" s="1"/>
  <c r="G119"/>
  <c r="H119" s="1"/>
  <c r="J119" s="1"/>
  <c r="G118"/>
  <c r="H118" s="1"/>
  <c r="J118" s="1"/>
  <c r="G117"/>
  <c r="H117" s="1"/>
  <c r="J117" s="1"/>
  <c r="G116"/>
  <c r="H116" s="1"/>
  <c r="J116" s="1"/>
  <c r="G115"/>
  <c r="H115" s="1"/>
  <c r="J115" s="1"/>
  <c r="G80"/>
  <c r="H80" s="1"/>
  <c r="J80" s="1"/>
  <c r="G114"/>
  <c r="H114" s="1"/>
  <c r="J114" s="1"/>
  <c r="G81"/>
  <c r="H81" s="1"/>
  <c r="J81" s="1"/>
  <c r="E105"/>
  <c r="E120"/>
  <c r="E90"/>
  <c r="E150"/>
  <c r="E144" s="1"/>
  <c r="G144" s="1"/>
  <c r="H144" s="1"/>
  <c r="J144" s="1"/>
  <c r="D167"/>
  <c r="E167" s="1"/>
  <c r="G126"/>
  <c r="H126" s="1"/>
  <c r="J126" s="1"/>
  <c r="G132"/>
  <c r="H132" s="1"/>
  <c r="J132" s="1"/>
  <c r="G131"/>
  <c r="H131" s="1"/>
  <c r="J131" s="1"/>
  <c r="G128"/>
  <c r="H128" s="1"/>
  <c r="J128" s="1"/>
  <c r="G134"/>
  <c r="H134" s="1"/>
  <c r="J134" s="1"/>
  <c r="G127"/>
  <c r="H127" s="1"/>
  <c r="J127" s="1"/>
  <c r="G133"/>
  <c r="H133" s="1"/>
  <c r="J133" s="1"/>
  <c r="E135"/>
  <c r="E56"/>
  <c r="F135"/>
  <c r="G125"/>
  <c r="H125" s="1"/>
  <c r="F120"/>
  <c r="G110"/>
  <c r="H110" s="1"/>
  <c r="F73"/>
  <c r="F90"/>
  <c r="G78"/>
  <c r="H78" s="1"/>
  <c r="F105"/>
  <c r="G95"/>
  <c r="F56"/>
  <c r="F148"/>
  <c r="F36"/>
  <c r="E36"/>
  <c r="G28"/>
  <c r="H28" s="1"/>
  <c r="J28" s="1"/>
  <c r="G31"/>
  <c r="H31" s="1"/>
  <c r="J31" s="1"/>
  <c r="G32"/>
  <c r="H32" s="1"/>
  <c r="J32" s="1"/>
  <c r="G25"/>
  <c r="H25" s="1"/>
  <c r="J25" s="1"/>
  <c r="G27"/>
  <c r="H27" s="1"/>
  <c r="J27" s="1"/>
  <c r="G24"/>
  <c r="H24" s="1"/>
  <c r="G51"/>
  <c r="H51" s="1"/>
  <c r="J51" s="1"/>
  <c r="G50"/>
  <c r="H50" s="1"/>
  <c r="J50" s="1"/>
  <c r="G49"/>
  <c r="H49" s="1"/>
  <c r="J49" s="1"/>
  <c r="G26"/>
  <c r="H26" s="1"/>
  <c r="J26" s="1"/>
  <c r="G15"/>
  <c r="H15" s="1"/>
  <c r="J15" s="1"/>
  <c r="E6"/>
  <c r="G6" s="1"/>
  <c r="H6" s="1"/>
  <c r="J6" s="1"/>
  <c r="E8"/>
  <c r="G8" s="1"/>
  <c r="H8" s="1"/>
  <c r="J8" s="1"/>
  <c r="E10"/>
  <c r="G10" s="1"/>
  <c r="H10" s="1"/>
  <c r="J10" s="1"/>
  <c r="E12"/>
  <c r="G12" s="1"/>
  <c r="H12" s="1"/>
  <c r="J12" s="1"/>
  <c r="E14"/>
  <c r="G14" s="1"/>
  <c r="H14" s="1"/>
  <c r="J14" s="1"/>
  <c r="E16"/>
  <c r="G16" s="1"/>
  <c r="H16" s="1"/>
  <c r="J16" s="1"/>
  <c r="E5"/>
  <c r="G5" s="1"/>
  <c r="H5" s="1"/>
  <c r="E7"/>
  <c r="G7" s="1"/>
  <c r="H7" s="1"/>
  <c r="J7" s="1"/>
  <c r="E9"/>
  <c r="G9" s="1"/>
  <c r="H9" s="1"/>
  <c r="J9" s="1"/>
  <c r="E11"/>
  <c r="G11" s="1"/>
  <c r="H11" s="1"/>
  <c r="J11" s="1"/>
  <c r="E13"/>
  <c r="G13" s="1"/>
  <c r="H13" s="1"/>
  <c r="J13" s="1"/>
  <c r="G47"/>
  <c r="H47" s="1"/>
  <c r="J47" s="1"/>
  <c r="G33"/>
  <c r="H33" s="1"/>
  <c r="J33" s="1"/>
  <c r="G29"/>
  <c r="H29" s="1"/>
  <c r="J29" s="1"/>
  <c r="G44"/>
  <c r="H44" s="1"/>
  <c r="G45"/>
  <c r="H45" s="1"/>
  <c r="J45" s="1"/>
  <c r="G30"/>
  <c r="H30" s="1"/>
  <c r="J30" s="1"/>
  <c r="G52"/>
  <c r="H52" s="1"/>
  <c r="J52" s="1"/>
  <c r="G55"/>
  <c r="H55" s="1"/>
  <c r="J55" s="1"/>
  <c r="H159" i="1" l="1"/>
  <c r="J159" s="1"/>
  <c r="K159" s="1"/>
  <c r="H141"/>
  <c r="J141" s="1"/>
  <c r="K141" s="1"/>
  <c r="H46"/>
  <c r="J46" s="1"/>
  <c r="K46" s="1"/>
  <c r="H144"/>
  <c r="J144" s="1"/>
  <c r="K144" s="1"/>
  <c r="H108"/>
  <c r="J108" s="1"/>
  <c r="K108" s="1"/>
  <c r="H142"/>
  <c r="J142" s="1"/>
  <c r="K142" s="1"/>
  <c r="H182"/>
  <c r="J182" s="1"/>
  <c r="K182" s="1"/>
  <c r="H82"/>
  <c r="J82" s="1"/>
  <c r="K82" s="1"/>
  <c r="H45"/>
  <c r="J45" s="1"/>
  <c r="K45" s="1"/>
  <c r="H84"/>
  <c r="J84" s="1"/>
  <c r="K84" s="1"/>
  <c r="H106"/>
  <c r="J106" s="1"/>
  <c r="K106" s="1"/>
  <c r="H109"/>
  <c r="J109" s="1"/>
  <c r="K109" s="1"/>
  <c r="H161"/>
  <c r="J161" s="1"/>
  <c r="K161" s="1"/>
  <c r="H180"/>
  <c r="J180" s="1"/>
  <c r="K180" s="1"/>
  <c r="H103"/>
  <c r="J103" s="1"/>
  <c r="K103" s="1"/>
  <c r="H110"/>
  <c r="J110" s="1"/>
  <c r="K110" s="1"/>
  <c r="H80"/>
  <c r="J80" s="1"/>
  <c r="K80" s="1"/>
  <c r="H50"/>
  <c r="J50" s="1"/>
  <c r="K50" s="1"/>
  <c r="H136"/>
  <c r="J136" s="1"/>
  <c r="K136" s="1"/>
  <c r="H48"/>
  <c r="J48" s="1"/>
  <c r="K48" s="1"/>
  <c r="H51"/>
  <c r="J51" s="1"/>
  <c r="K51" s="1"/>
  <c r="H105"/>
  <c r="J105" s="1"/>
  <c r="K105" s="1"/>
  <c r="H140"/>
  <c r="J140" s="1"/>
  <c r="K140" s="1"/>
  <c r="G186"/>
  <c r="G188" s="1"/>
  <c r="H44"/>
  <c r="J44" s="1"/>
  <c r="K44" s="1"/>
  <c r="F163"/>
  <c r="F165" s="1"/>
  <c r="H158"/>
  <c r="H135"/>
  <c r="F145"/>
  <c r="F147" s="1"/>
  <c r="H181"/>
  <c r="J181" s="1"/>
  <c r="K181" s="1"/>
  <c r="H101"/>
  <c r="J101" s="1"/>
  <c r="K101" s="1"/>
  <c r="H183"/>
  <c r="J183" s="1"/>
  <c r="K183" s="1"/>
  <c r="H75"/>
  <c r="J75" s="1"/>
  <c r="K75" s="1"/>
  <c r="H78"/>
  <c r="J78" s="1"/>
  <c r="K78" s="1"/>
  <c r="H73"/>
  <c r="F85"/>
  <c r="F87" s="1"/>
  <c r="G113"/>
  <c r="G115" s="1"/>
  <c r="G145"/>
  <c r="G147" s="1"/>
  <c r="G52"/>
  <c r="G54" s="1"/>
  <c r="G85"/>
  <c r="G87" s="1"/>
  <c r="H184"/>
  <c r="J184" s="1"/>
  <c r="K184" s="1"/>
  <c r="F52"/>
  <c r="F54" s="1"/>
  <c r="H40"/>
  <c r="H178"/>
  <c r="J178" s="1"/>
  <c r="K178" s="1"/>
  <c r="H76"/>
  <c r="J76" s="1"/>
  <c r="K76" s="1"/>
  <c r="H160"/>
  <c r="J160" s="1"/>
  <c r="K160" s="1"/>
  <c r="H177"/>
  <c r="J177" s="1"/>
  <c r="K177" s="1"/>
  <c r="H79"/>
  <c r="J79" s="1"/>
  <c r="K79" s="1"/>
  <c r="H176"/>
  <c r="F186"/>
  <c r="F188" s="1"/>
  <c r="H83"/>
  <c r="J83" s="1"/>
  <c r="K83" s="1"/>
  <c r="F113"/>
  <c r="F115" s="1"/>
  <c r="H100"/>
  <c r="G163"/>
  <c r="G165" s="1"/>
  <c r="E146" i="8"/>
  <c r="G146" s="1"/>
  <c r="H146" s="1"/>
  <c r="J146" s="1"/>
  <c r="J78"/>
  <c r="J90" s="1"/>
  <c r="H90"/>
  <c r="J44"/>
  <c r="J56" s="1"/>
  <c r="H56"/>
  <c r="H120"/>
  <c r="J110"/>
  <c r="J120" s="1"/>
  <c r="G105"/>
  <c r="H95"/>
  <c r="H135"/>
  <c r="J125"/>
  <c r="J135" s="1"/>
  <c r="H36"/>
  <c r="J24"/>
  <c r="J36" s="1"/>
  <c r="J5"/>
  <c r="J17" s="1"/>
  <c r="H17"/>
  <c r="M8"/>
  <c r="N8" s="1"/>
  <c r="E143"/>
  <c r="G90"/>
  <c r="G120"/>
  <c r="F166"/>
  <c r="G36"/>
  <c r="E147"/>
  <c r="G147" s="1"/>
  <c r="H147" s="1"/>
  <c r="J147" s="1"/>
  <c r="E145"/>
  <c r="G145" s="1"/>
  <c r="H145" s="1"/>
  <c r="J145" s="1"/>
  <c r="E163"/>
  <c r="G163" s="1"/>
  <c r="H163" s="1"/>
  <c r="J163" s="1"/>
  <c r="E161"/>
  <c r="G161" s="1"/>
  <c r="H161" s="1"/>
  <c r="J161" s="1"/>
  <c r="E159"/>
  <c r="G159" s="1"/>
  <c r="H159" s="1"/>
  <c r="J159" s="1"/>
  <c r="E157"/>
  <c r="G157" s="1"/>
  <c r="H157" s="1"/>
  <c r="J157" s="1"/>
  <c r="E155"/>
  <c r="E164"/>
  <c r="G164" s="1"/>
  <c r="H164" s="1"/>
  <c r="J164" s="1"/>
  <c r="E162"/>
  <c r="G162" s="1"/>
  <c r="H162" s="1"/>
  <c r="J162" s="1"/>
  <c r="E160"/>
  <c r="G160" s="1"/>
  <c r="H160" s="1"/>
  <c r="J160" s="1"/>
  <c r="E158"/>
  <c r="G158" s="1"/>
  <c r="H158" s="1"/>
  <c r="J158" s="1"/>
  <c r="E156"/>
  <c r="G156" s="1"/>
  <c r="H156" s="1"/>
  <c r="J156" s="1"/>
  <c r="G56"/>
  <c r="G135"/>
  <c r="E17"/>
  <c r="N5"/>
  <c r="M5"/>
  <c r="N7"/>
  <c r="G17"/>
  <c r="H52" i="1" l="1"/>
  <c r="H54" s="1"/>
  <c r="H113"/>
  <c r="H115" s="1"/>
  <c r="H85"/>
  <c r="H87" s="1"/>
  <c r="J73"/>
  <c r="K73" s="1"/>
  <c r="H145"/>
  <c r="H147" s="1"/>
  <c r="J135"/>
  <c r="K135" s="1"/>
  <c r="F190"/>
  <c r="G190"/>
  <c r="H186"/>
  <c r="H188" s="1"/>
  <c r="J176"/>
  <c r="K176" s="1"/>
  <c r="H163"/>
  <c r="H165" s="1"/>
  <c r="J158"/>
  <c r="K158" s="1"/>
  <c r="J100"/>
  <c r="K100" s="1"/>
  <c r="J40"/>
  <c r="K40" s="1"/>
  <c r="E148" i="8"/>
  <c r="G143"/>
  <c r="H143" s="1"/>
  <c r="M146"/>
  <c r="J95"/>
  <c r="J105" s="1"/>
  <c r="H105"/>
  <c r="G71"/>
  <c r="H71" s="1"/>
  <c r="J71" s="1"/>
  <c r="G69"/>
  <c r="H69" s="1"/>
  <c r="J69" s="1"/>
  <c r="G67"/>
  <c r="H67" s="1"/>
  <c r="J67" s="1"/>
  <c r="G65"/>
  <c r="H65" s="1"/>
  <c r="J65" s="1"/>
  <c r="G63"/>
  <c r="H63" s="1"/>
  <c r="J63" s="1"/>
  <c r="E165"/>
  <c r="G72"/>
  <c r="H72" s="1"/>
  <c r="J72" s="1"/>
  <c r="G70"/>
  <c r="H70" s="1"/>
  <c r="J70" s="1"/>
  <c r="G68"/>
  <c r="H68" s="1"/>
  <c r="J68" s="1"/>
  <c r="G66"/>
  <c r="H66" s="1"/>
  <c r="J66" s="1"/>
  <c r="G64"/>
  <c r="H64" s="1"/>
  <c r="J64" s="1"/>
  <c r="G62"/>
  <c r="H62" s="1"/>
  <c r="J62" s="1"/>
  <c r="G155"/>
  <c r="N9"/>
  <c r="H190" i="1" l="1"/>
  <c r="G165" i="8"/>
  <c r="H155"/>
  <c r="N146"/>
  <c r="G148"/>
  <c r="J143"/>
  <c r="J148" s="1"/>
  <c r="H148"/>
  <c r="N143"/>
  <c r="M143"/>
  <c r="N145"/>
  <c r="E73"/>
  <c r="E136" s="1"/>
  <c r="G61"/>
  <c r="H61" s="1"/>
  <c r="N147" l="1"/>
  <c r="M165"/>
  <c r="H165"/>
  <c r="J155"/>
  <c r="J165" s="1"/>
  <c r="J61"/>
  <c r="J73" s="1"/>
  <c r="H73"/>
  <c r="G73"/>
  <c r="E173" s="1"/>
  <c r="F173" l="1"/>
</calcChain>
</file>

<file path=xl/sharedStrings.xml><?xml version="1.0" encoding="utf-8"?>
<sst xmlns="http://schemas.openxmlformats.org/spreadsheetml/2006/main" count="991" uniqueCount="165">
  <si>
    <t xml:space="preserve">                  SALE AREA STATEMENT </t>
  </si>
  <si>
    <t xml:space="preserve">  FLOOR</t>
  </si>
  <si>
    <t xml:space="preserve">FLAT </t>
  </si>
  <si>
    <t>NO. OF</t>
  </si>
  <si>
    <t>TOTAL FLAT</t>
  </si>
  <si>
    <t xml:space="preserve">COMMON </t>
  </si>
  <si>
    <t>TOTALCOMMON</t>
  </si>
  <si>
    <t>TOTAL BUILT UP AREA</t>
  </si>
  <si>
    <t>AREA</t>
  </si>
  <si>
    <t xml:space="preserve">   FLOORS</t>
  </si>
  <si>
    <t>STILT</t>
  </si>
  <si>
    <t>TYPICAL FLOOR</t>
  </si>
  <si>
    <t>TERRACE</t>
  </si>
  <si>
    <t>TOTAL</t>
  </si>
  <si>
    <t>T.C.A</t>
  </si>
  <si>
    <t>=</t>
  </si>
  <si>
    <t>%</t>
  </si>
  <si>
    <t>T.P.A</t>
  </si>
  <si>
    <t>Total Service Area</t>
  </si>
  <si>
    <t>BLOCK – 1</t>
  </si>
  <si>
    <t>CARPET</t>
  </si>
  <si>
    <t>PLINTH</t>
  </si>
  <si>
    <t>COMMON</t>
  </si>
  <si>
    <t>SERVICE AREA</t>
  </si>
  <si>
    <t xml:space="preserve">SALE </t>
  </si>
  <si>
    <t>ROUNDED OFF</t>
  </si>
  <si>
    <t>COMMON&amp;</t>
  </si>
  <si>
    <t xml:space="preserve">NO. OF </t>
  </si>
  <si>
    <t>NO.</t>
  </si>
  <si>
    <t>FLAT</t>
  </si>
  <si>
    <t>TYPE</t>
  </si>
  <si>
    <t>SALE</t>
  </si>
  <si>
    <t>SERVICE</t>
  </si>
  <si>
    <t xml:space="preserve">UNITS PER </t>
  </si>
  <si>
    <t>FLOORS</t>
  </si>
  <si>
    <t>BLOCKS</t>
  </si>
  <si>
    <t>OF FLATS</t>
  </si>
  <si>
    <t>FLOOR</t>
  </si>
  <si>
    <t>3 BHK</t>
  </si>
  <si>
    <t>NO.OF FLOORS</t>
  </si>
  <si>
    <t>BLOCK – 2</t>
  </si>
  <si>
    <t>2 BHK</t>
  </si>
  <si>
    <t>TOTAL UNIT</t>
  </si>
  <si>
    <t>GRAND TOTAL</t>
  </si>
  <si>
    <r>
      <t xml:space="preserve">1st </t>
    </r>
    <r>
      <rPr>
        <sz val="10"/>
        <rFont val="Arial"/>
        <family val="2"/>
      </rPr>
      <t>to 9</t>
    </r>
    <r>
      <rPr>
        <vertAlign val="superscript"/>
        <sz val="12"/>
        <color indexed="8"/>
        <rFont val="Arial"/>
        <family val="2"/>
      </rPr>
      <t>th</t>
    </r>
    <r>
      <rPr>
        <sz val="12"/>
        <color indexed="8"/>
        <rFont val="Arial"/>
        <family val="2"/>
      </rPr>
      <t xml:space="preserve"> Floor</t>
    </r>
  </si>
  <si>
    <r>
      <t>1</t>
    </r>
    <r>
      <rPr>
        <b/>
        <vertAlign val="superscript"/>
        <sz val="12"/>
        <rFont val="Arial"/>
        <family val="2"/>
      </rPr>
      <t>st</t>
    </r>
    <r>
      <rPr>
        <b/>
        <sz val="12"/>
        <rFont val="Arial"/>
        <family val="2"/>
      </rPr>
      <t xml:space="preserve"> to 9</t>
    </r>
    <r>
      <rPr>
        <b/>
        <vertAlign val="superscript"/>
        <sz val="12"/>
        <rFont val="Arial"/>
        <family val="2"/>
      </rPr>
      <t xml:space="preserve">th </t>
    </r>
    <r>
      <rPr>
        <b/>
        <sz val="12"/>
        <color indexed="8"/>
        <rFont val="Arial"/>
        <family val="2"/>
      </rPr>
      <t>Floor</t>
    </r>
  </si>
  <si>
    <r>
      <t>1</t>
    </r>
    <r>
      <rPr>
        <b/>
        <vertAlign val="superscript"/>
        <sz val="12"/>
        <rFont val="Arial"/>
        <family val="2"/>
      </rPr>
      <t>st</t>
    </r>
    <r>
      <rPr>
        <b/>
        <sz val="12"/>
        <rFont val="Arial"/>
        <family val="2"/>
      </rPr>
      <t xml:space="preserve"> to 9 </t>
    </r>
    <r>
      <rPr>
        <b/>
        <vertAlign val="superscript"/>
        <sz val="12"/>
        <rFont val="Arial"/>
        <family val="2"/>
      </rPr>
      <t xml:space="preserve">th </t>
    </r>
    <r>
      <rPr>
        <b/>
        <sz val="12"/>
        <color indexed="8"/>
        <rFont val="Arial"/>
        <family val="2"/>
      </rPr>
      <t>Floor</t>
    </r>
  </si>
  <si>
    <t>101- 901</t>
  </si>
  <si>
    <t>102- 902</t>
  </si>
  <si>
    <t>103- 903</t>
  </si>
  <si>
    <t>104- 904</t>
  </si>
  <si>
    <t>105- 905</t>
  </si>
  <si>
    <t>106- 906</t>
  </si>
  <si>
    <t>107- 907</t>
  </si>
  <si>
    <t>108- 908</t>
  </si>
  <si>
    <t>109- 909</t>
  </si>
  <si>
    <t>110- 910</t>
  </si>
  <si>
    <t>111- 911</t>
  </si>
  <si>
    <t>112- 912</t>
  </si>
  <si>
    <t>2½ BHK</t>
  </si>
  <si>
    <t>[ Stair + Service ]</t>
  </si>
  <si>
    <t xml:space="preserve">               M/S  XSREAL PVT .LTD  - CHETTIPUNIYAM     MSB </t>
  </si>
  <si>
    <t>TOWER – 1  [ STILT + 9 FLOORS]</t>
  </si>
  <si>
    <t>TOWER – 2  [ STILT + 9 FLOORS]</t>
  </si>
  <si>
    <t>TOWER – 3  [ STILT + 9 FLOORS]</t>
  </si>
  <si>
    <t>TOWER – 4  [ STILT + 9 FLOORS]</t>
  </si>
  <si>
    <t>TOWER – 5  [ STILT + 9 FLOORS]</t>
  </si>
  <si>
    <t>TOWER – 6  [ L.I.G ] [ STILT + 9 FLOORS]</t>
  </si>
  <si>
    <t>Total Block Plinth Area [ 6 TOWERS]</t>
  </si>
  <si>
    <t>1½ BHK</t>
  </si>
  <si>
    <t>[ 4504.26 + 3143.60 ]</t>
  </si>
  <si>
    <t>[ 3250.32 +1470.22 ]</t>
  </si>
  <si>
    <t>[Head Rm + L.M.Rm ]</t>
  </si>
  <si>
    <t>Service  =  [ TRANFORMER + GENTRATOR + PUMP ROOM]</t>
  </si>
  <si>
    <t xml:space="preserve">                    [  1500 +  500 + 1000 ]  </t>
  </si>
  <si>
    <t>[ Club house +Service ] [ 4000 + 3000 ]</t>
  </si>
  <si>
    <t>19.04.2016</t>
  </si>
  <si>
    <t>Carpet Area %</t>
  </si>
  <si>
    <t>Flat No</t>
  </si>
  <si>
    <t>Apartment Type</t>
  </si>
  <si>
    <t>Carpet Area (Sq.ft)</t>
  </si>
  <si>
    <t>Plinth Area (Sq.ft)</t>
  </si>
  <si>
    <t>Common Area</t>
  </si>
  <si>
    <t>Saleable Area (Sq.ft)</t>
  </si>
  <si>
    <t>No.of Floors</t>
  </si>
  <si>
    <t>Block Common Area</t>
  </si>
  <si>
    <t>Club House Common Area</t>
  </si>
  <si>
    <t>Total</t>
  </si>
  <si>
    <t>Plinth area</t>
  </si>
  <si>
    <t>Block-4</t>
  </si>
  <si>
    <t>Block-3</t>
  </si>
  <si>
    <t>111-911</t>
  </si>
  <si>
    <t>112-912</t>
  </si>
  <si>
    <t>Block-2</t>
  </si>
  <si>
    <t>Block-1</t>
  </si>
  <si>
    <t>Clubhouse</t>
  </si>
  <si>
    <t>Total Plinth area</t>
  </si>
  <si>
    <t>Total Saleable Area</t>
  </si>
  <si>
    <t>Area Statement  Option-A2</t>
  </si>
  <si>
    <t>Carpet Area</t>
  </si>
  <si>
    <t>Plinth Area</t>
  </si>
  <si>
    <t>Wall Area</t>
  </si>
  <si>
    <t>Block-5(EWS)</t>
  </si>
  <si>
    <t>Club House</t>
  </si>
  <si>
    <t>Wing-A (9th floor)</t>
  </si>
  <si>
    <t>Wing-A (Typical Floor 2nd to 8th)</t>
  </si>
  <si>
    <t>Wing-A (First Floor)</t>
  </si>
  <si>
    <t>Wing-B (First Floor)</t>
  </si>
  <si>
    <t>201-801</t>
  </si>
  <si>
    <t>202-802</t>
  </si>
  <si>
    <t>203-803</t>
  </si>
  <si>
    <t>204-804</t>
  </si>
  <si>
    <t>205-805</t>
  </si>
  <si>
    <t>206-806</t>
  </si>
  <si>
    <t>207-807</t>
  </si>
  <si>
    <t>208-808</t>
  </si>
  <si>
    <t>209-809</t>
  </si>
  <si>
    <t>210-810</t>
  </si>
  <si>
    <t>211-811</t>
  </si>
  <si>
    <t>212-812</t>
  </si>
  <si>
    <t>Wing-B (Typical Floor 2nd to 8th)</t>
  </si>
  <si>
    <t>Wing-B (9th Floor)</t>
  </si>
  <si>
    <t>Rounded off saleable area</t>
  </si>
  <si>
    <t>Floor No</t>
  </si>
  <si>
    <t>3BHK+3T</t>
  </si>
  <si>
    <t>Covered</t>
  </si>
  <si>
    <t>Open</t>
  </si>
  <si>
    <t>2BHK+2T</t>
  </si>
  <si>
    <t>1BHK+1T</t>
  </si>
  <si>
    <t>WING - A</t>
  </si>
  <si>
    <t>WING - B</t>
  </si>
  <si>
    <t>LAND AREA</t>
  </si>
  <si>
    <t>UDS</t>
  </si>
  <si>
    <t>TOTAL SALE AREA</t>
  </si>
  <si>
    <t>SQ.FT</t>
  </si>
  <si>
    <t>SQ.M</t>
  </si>
  <si>
    <t>DATE : 12.01.2026</t>
  </si>
  <si>
    <t xml:space="preserve"> </t>
  </si>
  <si>
    <t>S.No.</t>
  </si>
  <si>
    <t>Block No</t>
  </si>
  <si>
    <t>Apartment  No</t>
  </si>
  <si>
    <t>Type</t>
  </si>
  <si>
    <t>(a)
Carpet Area (as per Sec 2(k) of the RERA Act)
(sq.m)</t>
  </si>
  <si>
    <t>(b)
Exclusive
Balcony
(sq.m)</t>
  </si>
  <si>
    <t>(c)
Exclusive Verandah/Utility/ Service/ Open Terrace</t>
  </si>
  <si>
    <t>(d)
Area of External walls
(sq.m)</t>
  </si>
  <si>
    <t>e = (a + b + c+ d)
Floor area of the apartment
(sq.m)</t>
  </si>
  <si>
    <t>(f)
Proportionate Common Area (sq.m)</t>
  </si>
  <si>
    <t>g = (e + f) Gross Area of the
apartment
(sq.m)</t>
  </si>
  <si>
    <t xml:space="preserve">(h)
UDS land
Area (sq.m) </t>
  </si>
  <si>
    <t>(i)
Car Parking
(Nos.)</t>
  </si>
  <si>
    <t>CARPET  AREA  STATEMENT</t>
  </si>
  <si>
    <t>VISITORS PARKING</t>
  </si>
  <si>
    <t xml:space="preserve">PLAN SHOWING THE PROPOSED CONSTRUCTION OF  AFFORDABLE HOUSING (CARPET AREA LESS THAN 90 SQ.M)  RESIDENTIAL BUILDING  STILT FOOR + 5 FLOORS ( HEIGHT - 18.25 M)  WITH 113 DWELLING UNITS AT SANGANOOR MAIN ROAD, CHELLAPA ROAD , GANAPATHY VILLAGE , COIMBATORE. COMPRISED IN COMPRISED IN T.S.NO. 2/4 , 1/4, 6/2, 1/5,, 6/3, 8/2, 8/4, 8/5, WARD-T  GANAPATHY,  BLOCK 27 OF GANAPATHY VILLAGE , COIMBATORE NORTH TALUK,  COIMBATORE DISTRICT. COIMBATORE CORPORATION.
</t>
  </si>
  <si>
    <t xml:space="preserve">LAND AREA </t>
  </si>
  <si>
    <t xml:space="preserve">STREET ALIGNMENT </t>
  </si>
  <si>
    <t>BALANCE AREA</t>
  </si>
  <si>
    <t>Remaining Parking</t>
  </si>
  <si>
    <t>*45</t>
  </si>
  <si>
    <t>*Remaining car parking spaces will be allocated on a first-come first-serve basis since the dwelling unit area is less than 75 sq.m</t>
  </si>
  <si>
    <t>Note 1:</t>
  </si>
  <si>
    <t xml:space="preserve">PLAN SHOWING THE PROPOSED CONSTRUCTION OF  AFFORDABLE HOUSING (CARPET AREA LESS THAN 90 SQ.M)  RESIDENTIAL BUILDING  STILT FOOR + 5 FLOORS ( HEIGHT - 18.25 M)  WITH 113 DWELLING UNITS AT SANGANOOR MAIN ROAD, CHELLAPA ROAD , GANAPATHY VILLAGE , COIMBATORE. COMPRISED IN COMPRISED IN T.S.NO. 2/4 , 1/4, 6/2, 1/5,, 6/3, 8/2, 8/4, 8/5, WARD-T  GANAPATHY,  BLOCK 27 OF GANAPATHY VILLAGE , COIMBATORTALUK,  COIMBATORE DISTRICT. COIMBATORE CORPORATION.
PROJECT NAME: TURIN
</t>
  </si>
  <si>
    <t>*41</t>
  </si>
  <si>
    <t>*5</t>
  </si>
  <si>
    <t>DATE : 23.02.2026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</si>
</sst>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64" formatCode="mm/dd/yy"/>
    <numFmt numFmtId="165" formatCode="0.000"/>
    <numFmt numFmtId="166" formatCode="0.0"/>
    <numFmt numFmtId="167" formatCode="_ * #,##0_ ;_ * \-#,##0_ ;_ * &quot;-&quot;??_ ;_ @_ "/>
  </numFmts>
  <fonts count="57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vertAlign val="superscript"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9"/>
      <name val="Arial"/>
      <family val="2"/>
    </font>
    <font>
      <sz val="10"/>
      <color indexed="9"/>
      <name val="Arial"/>
      <family val="2"/>
    </font>
    <font>
      <sz val="11"/>
      <name val="Arial"/>
      <family val="2"/>
    </font>
    <font>
      <b/>
      <vertAlign val="superscript"/>
      <sz val="12"/>
      <name val="Arial"/>
      <family val="2"/>
    </font>
    <font>
      <b/>
      <sz val="12"/>
      <color indexed="8"/>
      <name val="Arial"/>
      <family val="2"/>
    </font>
    <font>
      <b/>
      <sz val="10.5"/>
      <color indexed="16"/>
      <name val="Arial"/>
      <family val="2"/>
    </font>
    <font>
      <b/>
      <sz val="12"/>
      <color indexed="16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4"/>
      <name val="Arial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u/>
      <sz val="16"/>
      <name val="Arial"/>
      <family val="2"/>
    </font>
    <font>
      <sz val="14"/>
      <color theme="1"/>
      <name val="Calibri"/>
      <family val="2"/>
      <scheme val="minor"/>
    </font>
    <font>
      <sz val="13"/>
      <name val="Arial"/>
      <family val="2"/>
    </font>
    <font>
      <sz val="13"/>
      <color theme="1"/>
      <name val="Arial"/>
      <family val="2"/>
    </font>
    <font>
      <b/>
      <sz val="1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3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1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2" borderId="1" applyNumberFormat="0" applyAlignment="0" applyProtection="0"/>
    <xf numFmtId="0" fontId="6" fillId="16" borderId="2" applyNumberFormat="0" applyAlignment="0" applyProtection="0"/>
    <xf numFmtId="43" fontId="1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6" applyNumberFormat="0" applyFill="0" applyAlignment="0" applyProtection="0"/>
    <xf numFmtId="0" fontId="14" fillId="8" borderId="0" applyNumberFormat="0" applyBorder="0" applyAlignment="0" applyProtection="0"/>
    <xf numFmtId="0" fontId="34" fillId="4" borderId="7" applyNumberFormat="0" applyAlignment="0" applyProtection="0"/>
    <xf numFmtId="0" fontId="15" fillId="2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9" fontId="34" fillId="0" borderId="0" applyFont="0" applyFill="0" applyBorder="0" applyAlignment="0" applyProtection="0"/>
  </cellStyleXfs>
  <cellXfs count="240">
    <xf numFmtId="0" fontId="0" fillId="0" borderId="0" xfId="0"/>
    <xf numFmtId="0" fontId="19" fillId="0" borderId="0" xfId="0" applyFont="1"/>
    <xf numFmtId="0" fontId="20" fillId="0" borderId="0" xfId="0" applyFont="1"/>
    <xf numFmtId="164" fontId="21" fillId="0" borderId="0" xfId="0" applyNumberFormat="1" applyFont="1"/>
    <xf numFmtId="0" fontId="22" fillId="0" borderId="10" xfId="0" applyFont="1" applyBorder="1"/>
    <xf numFmtId="0" fontId="22" fillId="0" borderId="11" xfId="0" applyFont="1" applyBorder="1"/>
    <xf numFmtId="0" fontId="22" fillId="0" borderId="12" xfId="0" applyFont="1" applyBorder="1" applyAlignment="1">
      <alignment horizontal="left"/>
    </xf>
    <xf numFmtId="0" fontId="22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2" fillId="0" borderId="13" xfId="0" applyFont="1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22" fillId="0" borderId="16" xfId="0" applyFont="1" applyBorder="1"/>
    <xf numFmtId="0" fontId="22" fillId="0" borderId="14" xfId="0" applyFont="1" applyBorder="1"/>
    <xf numFmtId="0" fontId="22" fillId="0" borderId="14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22" fillId="0" borderId="18" xfId="0" applyFont="1" applyBorder="1"/>
    <xf numFmtId="0" fontId="22" fillId="0" borderId="19" xfId="0" applyFont="1" applyBorder="1"/>
    <xf numFmtId="0" fontId="0" fillId="0" borderId="20" xfId="0" applyBorder="1"/>
    <xf numFmtId="0" fontId="0" fillId="0" borderId="18" xfId="0" applyBorder="1"/>
    <xf numFmtId="0" fontId="22" fillId="0" borderId="0" xfId="0" applyFont="1"/>
    <xf numFmtId="0" fontId="24" fillId="0" borderId="18" xfId="0" applyFont="1" applyBorder="1"/>
    <xf numFmtId="0" fontId="24" fillId="0" borderId="19" xfId="0" applyFont="1" applyBorder="1"/>
    <xf numFmtId="0" fontId="23" fillId="0" borderId="18" xfId="0" applyFont="1" applyBorder="1"/>
    <xf numFmtId="0" fontId="22" fillId="0" borderId="20" xfId="0" applyFont="1" applyBorder="1"/>
    <xf numFmtId="0" fontId="0" fillId="0" borderId="19" xfId="0" applyBorder="1"/>
    <xf numFmtId="0" fontId="22" fillId="0" borderId="21" xfId="0" applyFont="1" applyBorder="1"/>
    <xf numFmtId="0" fontId="22" fillId="0" borderId="22" xfId="0" applyFont="1" applyBorder="1"/>
    <xf numFmtId="0" fontId="22" fillId="0" borderId="23" xfId="0" applyFont="1" applyBorder="1"/>
    <xf numFmtId="0" fontId="20" fillId="0" borderId="21" xfId="0" applyFont="1" applyBorder="1"/>
    <xf numFmtId="0" fontId="0" fillId="0" borderId="23" xfId="0" applyBorder="1"/>
    <xf numFmtId="0" fontId="22" fillId="0" borderId="17" xfId="0" applyFont="1" applyBorder="1" applyAlignment="1">
      <alignment horizontal="center"/>
    </xf>
    <xf numFmtId="0" fontId="22" fillId="0" borderId="0" xfId="0" applyFont="1" applyAlignment="1">
      <alignment horizontal="center"/>
    </xf>
    <xf numFmtId="165" fontId="27" fillId="0" borderId="0" xfId="0" applyNumberFormat="1" applyFont="1"/>
    <xf numFmtId="0" fontId="27" fillId="0" borderId="0" xfId="0" applyFont="1" applyAlignment="1">
      <alignment horizontal="center"/>
    </xf>
    <xf numFmtId="0" fontId="28" fillId="0" borderId="0" xfId="0" applyFont="1"/>
    <xf numFmtId="2" fontId="27" fillId="0" borderId="0" xfId="0" applyNumberFormat="1" applyFont="1" applyAlignment="1">
      <alignment horizontal="center"/>
    </xf>
    <xf numFmtId="0" fontId="24" fillId="0" borderId="0" xfId="0" applyFont="1"/>
    <xf numFmtId="0" fontId="23" fillId="0" borderId="0" xfId="0" applyFont="1"/>
    <xf numFmtId="0" fontId="29" fillId="0" borderId="0" xfId="0" applyFont="1"/>
    <xf numFmtId="0" fontId="21" fillId="0" borderId="0" xfId="0" applyFont="1"/>
    <xf numFmtId="0" fontId="22" fillId="0" borderId="12" xfId="0" applyFont="1" applyBorder="1" applyAlignment="1">
      <alignment horizontal="center"/>
    </xf>
    <xf numFmtId="0" fontId="0" fillId="0" borderId="13" xfId="0" applyBorder="1"/>
    <xf numFmtId="0" fontId="22" fillId="0" borderId="18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32" fillId="0" borderId="18" xfId="0" applyFont="1" applyBorder="1" applyAlignment="1">
      <alignment horizontal="center"/>
    </xf>
    <xf numFmtId="2" fontId="33" fillId="0" borderId="20" xfId="0" applyNumberFormat="1" applyFont="1" applyBorder="1" applyAlignment="1">
      <alignment horizontal="right"/>
    </xf>
    <xf numFmtId="2" fontId="22" fillId="0" borderId="20" xfId="0" applyNumberFormat="1" applyFont="1" applyBorder="1"/>
    <xf numFmtId="166" fontId="22" fillId="0" borderId="20" xfId="0" applyNumberFormat="1" applyFont="1" applyBorder="1" applyAlignment="1">
      <alignment horizontal="center"/>
    </xf>
    <xf numFmtId="2" fontId="22" fillId="0" borderId="23" xfId="0" applyNumberFormat="1" applyFont="1" applyBorder="1"/>
    <xf numFmtId="0" fontId="22" fillId="0" borderId="23" xfId="0" applyFont="1" applyBorder="1" applyAlignment="1">
      <alignment horizontal="center"/>
    </xf>
    <xf numFmtId="0" fontId="22" fillId="0" borderId="15" xfId="0" applyFont="1" applyBorder="1"/>
    <xf numFmtId="0" fontId="22" fillId="0" borderId="14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21" xfId="0" applyBorder="1"/>
    <xf numFmtId="2" fontId="22" fillId="0" borderId="21" xfId="0" applyNumberFormat="1" applyFont="1" applyBorder="1" applyAlignment="1">
      <alignment horizontal="right"/>
    </xf>
    <xf numFmtId="2" fontId="22" fillId="18" borderId="21" xfId="0" applyNumberFormat="1" applyFont="1" applyFill="1" applyBorder="1" applyAlignment="1">
      <alignment horizontal="right"/>
    </xf>
    <xf numFmtId="1" fontId="22" fillId="19" borderId="21" xfId="0" applyNumberFormat="1" applyFont="1" applyFill="1" applyBorder="1" applyAlignment="1">
      <alignment horizontal="center"/>
    </xf>
    <xf numFmtId="2" fontId="21" fillId="0" borderId="21" xfId="0" applyNumberFormat="1" applyFont="1" applyBorder="1" applyAlignment="1">
      <alignment horizontal="right"/>
    </xf>
    <xf numFmtId="2" fontId="21" fillId="19" borderId="21" xfId="0" applyNumberFormat="1" applyFont="1" applyFill="1" applyBorder="1" applyAlignment="1">
      <alignment horizontal="right"/>
    </xf>
    <xf numFmtId="0" fontId="22" fillId="0" borderId="24" xfId="0" applyFont="1" applyBorder="1"/>
    <xf numFmtId="2" fontId="22" fillId="0" borderId="18" xfId="0" applyNumberFormat="1" applyFont="1" applyBorder="1"/>
    <xf numFmtId="2" fontId="22" fillId="0" borderId="14" xfId="0" applyNumberFormat="1" applyFont="1" applyBorder="1"/>
    <xf numFmtId="2" fontId="22" fillId="0" borderId="10" xfId="0" applyNumberFormat="1" applyFont="1" applyBorder="1"/>
    <xf numFmtId="2" fontId="37" fillId="0" borderId="20" xfId="0" applyNumberFormat="1" applyFont="1" applyBorder="1"/>
    <xf numFmtId="2" fontId="37" fillId="0" borderId="18" xfId="0" applyNumberFormat="1" applyFont="1" applyBorder="1"/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24" fillId="0" borderId="0" xfId="0" applyNumberFormat="1" applyFont="1" applyAlignment="1">
      <alignment horizontal="center"/>
    </xf>
    <xf numFmtId="0" fontId="38" fillId="0" borderId="0" xfId="0" applyFont="1"/>
    <xf numFmtId="4" fontId="24" fillId="0" borderId="25" xfId="0" applyNumberFormat="1" applyFont="1" applyBorder="1" applyAlignment="1">
      <alignment horizontal="center" vertical="center" wrapText="1"/>
    </xf>
    <xf numFmtId="4" fontId="34" fillId="0" borderId="25" xfId="0" applyNumberFormat="1" applyFont="1" applyBorder="1" applyAlignment="1">
      <alignment horizontal="center" vertical="center" wrapText="1"/>
    </xf>
    <xf numFmtId="4" fontId="34" fillId="20" borderId="25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3" fontId="0" fillId="0" borderId="0" xfId="0" applyNumberFormat="1"/>
    <xf numFmtId="3" fontId="35" fillId="0" borderId="0" xfId="0" applyNumberFormat="1" applyFont="1"/>
    <xf numFmtId="4" fontId="0" fillId="0" borderId="25" xfId="0" applyNumberFormat="1" applyBorder="1" applyAlignment="1">
      <alignment horizontal="center" vertical="center" wrapText="1"/>
    </xf>
    <xf numFmtId="0" fontId="0" fillId="0" borderId="25" xfId="0" applyBorder="1"/>
    <xf numFmtId="4" fontId="24" fillId="0" borderId="25" xfId="0" applyNumberFormat="1" applyFont="1" applyBorder="1" applyAlignment="1">
      <alignment horizontal="center"/>
    </xf>
    <xf numFmtId="4" fontId="24" fillId="0" borderId="0" xfId="0" applyNumberFormat="1" applyFont="1" applyAlignment="1">
      <alignment horizontal="center"/>
    </xf>
    <xf numFmtId="4" fontId="36" fillId="0" borderId="0" xfId="0" applyNumberFormat="1" applyFont="1" applyAlignment="1">
      <alignment horizontal="center"/>
    </xf>
    <xf numFmtId="3" fontId="24" fillId="0" borderId="25" xfId="0" applyNumberFormat="1" applyFont="1" applyBorder="1" applyAlignment="1">
      <alignment horizontal="center"/>
    </xf>
    <xf numFmtId="2" fontId="35" fillId="0" borderId="0" xfId="0" applyNumberFormat="1" applyFont="1"/>
    <xf numFmtId="4" fontId="0" fillId="0" borderId="0" xfId="0" applyNumberFormat="1"/>
    <xf numFmtId="9" fontId="0" fillId="0" borderId="0" xfId="43" applyFont="1"/>
    <xf numFmtId="4" fontId="39" fillId="0" borderId="25" xfId="0" applyNumberFormat="1" applyFont="1" applyBorder="1" applyAlignment="1">
      <alignment horizontal="center" vertical="center" wrapText="1"/>
    </xf>
    <xf numFmtId="4" fontId="39" fillId="20" borderId="25" xfId="0" applyNumberFormat="1" applyFont="1" applyFill="1" applyBorder="1" applyAlignment="1">
      <alignment horizontal="center" vertical="center" wrapText="1"/>
    </xf>
    <xf numFmtId="167" fontId="1" fillId="0" borderId="0" xfId="28" applyNumberFormat="1"/>
    <xf numFmtId="3" fontId="24" fillId="0" borderId="0" xfId="0" applyNumberFormat="1" applyFont="1" applyAlignment="1">
      <alignment horizontal="center"/>
    </xf>
    <xf numFmtId="3" fontId="34" fillId="0" borderId="25" xfId="0" applyNumberFormat="1" applyFon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34" fillId="20" borderId="25" xfId="0" applyNumberFormat="1" applyFont="1" applyFill="1" applyBorder="1" applyAlignment="1">
      <alignment horizontal="center" vertical="center" wrapText="1"/>
    </xf>
    <xf numFmtId="4" fontId="24" fillId="0" borderId="26" xfId="0" applyNumberFormat="1" applyFont="1" applyBorder="1" applyAlignment="1">
      <alignment horizontal="center" vertical="center" wrapText="1"/>
    </xf>
    <xf numFmtId="4" fontId="24" fillId="0" borderId="27" xfId="0" applyNumberFormat="1" applyFont="1" applyBorder="1" applyAlignment="1">
      <alignment horizontal="center" vertical="center" wrapText="1"/>
    </xf>
    <xf numFmtId="9" fontId="34" fillId="20" borderId="25" xfId="43" applyFont="1" applyFill="1" applyBorder="1" applyAlignment="1">
      <alignment horizontal="center" vertical="center" wrapText="1"/>
    </xf>
    <xf numFmtId="9" fontId="24" fillId="0" borderId="25" xfId="43" applyFont="1" applyBorder="1" applyAlignment="1">
      <alignment horizontal="center"/>
    </xf>
    <xf numFmtId="0" fontId="24" fillId="0" borderId="31" xfId="0" applyFont="1" applyBorder="1"/>
    <xf numFmtId="0" fontId="0" fillId="0" borderId="32" xfId="0" applyBorder="1"/>
    <xf numFmtId="3" fontId="24" fillId="21" borderId="32" xfId="0" applyNumberFormat="1" applyFont="1" applyFill="1" applyBorder="1"/>
    <xf numFmtId="3" fontId="24" fillId="21" borderId="33" xfId="0" applyNumberFormat="1" applyFont="1" applyFill="1" applyBorder="1"/>
    <xf numFmtId="4" fontId="0" fillId="0" borderId="29" xfId="0" applyNumberFormat="1" applyBorder="1" applyAlignment="1">
      <alignment horizontal="center" vertical="center" wrapText="1"/>
    </xf>
    <xf numFmtId="4" fontId="42" fillId="0" borderId="25" xfId="0" applyNumberFormat="1" applyFont="1" applyBorder="1" applyAlignment="1">
      <alignment horizontal="center" vertical="center" wrapText="1"/>
    </xf>
    <xf numFmtId="4" fontId="0" fillId="20" borderId="25" xfId="0" applyNumberFormat="1" applyFill="1" applyBorder="1" applyAlignment="1">
      <alignment horizontal="center" vertical="center" wrapText="1"/>
    </xf>
    <xf numFmtId="0" fontId="44" fillId="0" borderId="35" xfId="0" applyFont="1" applyBorder="1" applyAlignment="1">
      <alignment horizontal="center" vertical="center"/>
    </xf>
    <xf numFmtId="0" fontId="45" fillId="0" borderId="35" xfId="0" applyFont="1" applyBorder="1" applyAlignment="1">
      <alignment horizontal="center" vertical="center"/>
    </xf>
    <xf numFmtId="0" fontId="44" fillId="0" borderId="38" xfId="0" applyFont="1" applyBorder="1" applyAlignment="1">
      <alignment horizontal="center" vertical="center"/>
    </xf>
    <xf numFmtId="0" fontId="45" fillId="0" borderId="38" xfId="0" applyFont="1" applyBorder="1" applyAlignment="1">
      <alignment horizontal="center" vertical="center"/>
    </xf>
    <xf numFmtId="0" fontId="47" fillId="0" borderId="38" xfId="0" applyFont="1" applyBorder="1" applyAlignment="1">
      <alignment horizontal="center" vertical="center"/>
    </xf>
    <xf numFmtId="0" fontId="47" fillId="0" borderId="35" xfId="0" applyFont="1" applyBorder="1" applyAlignment="1">
      <alignment horizontal="center" vertical="center"/>
    </xf>
    <xf numFmtId="0" fontId="48" fillId="0" borderId="28" xfId="0" applyFont="1" applyBorder="1" applyAlignment="1">
      <alignment horizontal="center" vertical="center"/>
    </xf>
    <xf numFmtId="4" fontId="49" fillId="0" borderId="25" xfId="0" applyNumberFormat="1" applyFont="1" applyBorder="1" applyAlignment="1">
      <alignment horizontal="center" vertical="center" wrapText="1"/>
    </xf>
    <xf numFmtId="4" fontId="48" fillId="20" borderId="25" xfId="0" applyNumberFormat="1" applyFont="1" applyFill="1" applyBorder="1" applyAlignment="1">
      <alignment horizontal="center" vertical="center" wrapText="1"/>
    </xf>
    <xf numFmtId="4" fontId="0" fillId="20" borderId="28" xfId="0" applyNumberFormat="1" applyFill="1" applyBorder="1" applyAlignment="1">
      <alignment horizontal="center" vertical="center" wrapText="1"/>
    </xf>
    <xf numFmtId="0" fontId="48" fillId="0" borderId="25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1" fillId="0" borderId="38" xfId="0" applyFont="1" applyBorder="1" applyAlignment="1">
      <alignment horizontal="center" vertical="center"/>
    </xf>
    <xf numFmtId="0" fontId="48" fillId="0" borderId="38" xfId="0" applyFont="1" applyBorder="1" applyAlignment="1">
      <alignment horizontal="center" vertical="center"/>
    </xf>
    <xf numFmtId="2" fontId="42" fillId="0" borderId="25" xfId="0" applyNumberFormat="1" applyFont="1" applyBorder="1" applyAlignment="1">
      <alignment horizontal="center" vertical="center"/>
    </xf>
    <xf numFmtId="2" fontId="49" fillId="0" borderId="25" xfId="0" applyNumberFormat="1" applyFont="1" applyBorder="1" applyAlignment="1">
      <alignment horizontal="center" vertical="center"/>
    </xf>
    <xf numFmtId="0" fontId="48" fillId="0" borderId="47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51" fillId="0" borderId="53" xfId="0" applyFont="1" applyBorder="1" applyAlignment="1">
      <alignment horizontal="center" vertical="center"/>
    </xf>
    <xf numFmtId="0" fontId="48" fillId="0" borderId="54" xfId="0" applyFont="1" applyBorder="1" applyAlignment="1">
      <alignment horizontal="center" vertical="center"/>
    </xf>
    <xf numFmtId="2" fontId="49" fillId="0" borderId="26" xfId="0" applyNumberFormat="1" applyFont="1" applyBorder="1" applyAlignment="1">
      <alignment horizontal="center" vertical="center"/>
    </xf>
    <xf numFmtId="4" fontId="49" fillId="0" borderId="26" xfId="0" applyNumberFormat="1" applyFont="1" applyBorder="1" applyAlignment="1">
      <alignment horizontal="center" vertical="center" wrapText="1"/>
    </xf>
    <xf numFmtId="4" fontId="48" fillId="20" borderId="26" xfId="0" applyNumberFormat="1" applyFont="1" applyFill="1" applyBorder="1" applyAlignment="1">
      <alignment horizontal="center" vertical="center" wrapText="1"/>
    </xf>
    <xf numFmtId="0" fontId="47" fillId="0" borderId="53" xfId="0" applyFont="1" applyBorder="1" applyAlignment="1">
      <alignment horizontal="center" vertical="center"/>
    </xf>
    <xf numFmtId="0" fontId="47" fillId="0" borderId="56" xfId="0" applyFont="1" applyBorder="1" applyAlignment="1">
      <alignment horizontal="center" vertical="center"/>
    </xf>
    <xf numFmtId="0" fontId="44" fillId="0" borderId="52" xfId="0" applyFont="1" applyBorder="1" applyAlignment="1">
      <alignment horizontal="center" vertical="center"/>
    </xf>
    <xf numFmtId="0" fontId="38" fillId="0" borderId="58" xfId="0" applyFont="1" applyBorder="1" applyAlignment="1">
      <alignment vertical="center"/>
    </xf>
    <xf numFmtId="0" fontId="38" fillId="0" borderId="61" xfId="0" applyFont="1" applyBorder="1" applyAlignment="1">
      <alignment vertical="center"/>
    </xf>
    <xf numFmtId="0" fontId="40" fillId="0" borderId="61" xfId="0" applyFont="1" applyBorder="1" applyAlignment="1">
      <alignment horizontal="center" vertical="center"/>
    </xf>
    <xf numFmtId="0" fontId="51" fillId="0" borderId="63" xfId="0" applyFont="1" applyBorder="1" applyAlignment="1">
      <alignment horizontal="center" vertical="center"/>
    </xf>
    <xf numFmtId="2" fontId="49" fillId="0" borderId="48" xfId="0" applyNumberFormat="1" applyFont="1" applyBorder="1" applyAlignment="1">
      <alignment horizontal="center" vertical="center"/>
    </xf>
    <xf numFmtId="4" fontId="49" fillId="0" borderId="48" xfId="0" applyNumberFormat="1" applyFont="1" applyBorder="1" applyAlignment="1">
      <alignment horizontal="center" vertical="center" wrapText="1"/>
    </xf>
    <xf numFmtId="4" fontId="48" fillId="20" borderId="48" xfId="0" applyNumberFormat="1" applyFont="1" applyFill="1" applyBorder="1" applyAlignment="1">
      <alignment horizontal="center" vertical="center" wrapText="1"/>
    </xf>
    <xf numFmtId="0" fontId="47" fillId="0" borderId="48" xfId="0" applyFont="1" applyBorder="1" applyAlignment="1">
      <alignment horizontal="center" vertical="center"/>
    </xf>
    <xf numFmtId="2" fontId="49" fillId="0" borderId="61" xfId="0" applyNumberFormat="1" applyFont="1" applyBorder="1" applyAlignment="1">
      <alignment horizontal="center" vertical="center"/>
    </xf>
    <xf numFmtId="4" fontId="49" fillId="0" borderId="61" xfId="0" applyNumberFormat="1" applyFont="1" applyBorder="1" applyAlignment="1">
      <alignment horizontal="center" vertical="center" wrapText="1"/>
    </xf>
    <xf numFmtId="4" fontId="48" fillId="20" borderId="61" xfId="0" applyNumberFormat="1" applyFont="1" applyFill="1" applyBorder="1" applyAlignment="1">
      <alignment horizontal="center" vertical="center" wrapText="1"/>
    </xf>
    <xf numFmtId="0" fontId="47" fillId="0" borderId="61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4" fontId="48" fillId="20" borderId="28" xfId="0" applyNumberFormat="1" applyFont="1" applyFill="1" applyBorder="1" applyAlignment="1">
      <alignment horizontal="center" vertical="center" wrapText="1"/>
    </xf>
    <xf numFmtId="4" fontId="48" fillId="20" borderId="29" xfId="0" applyNumberFormat="1" applyFont="1" applyFill="1" applyBorder="1" applyAlignment="1">
      <alignment horizontal="center" vertical="center" wrapText="1"/>
    </xf>
    <xf numFmtId="4" fontId="24" fillId="20" borderId="29" xfId="0" applyNumberFormat="1" applyFont="1" applyFill="1" applyBorder="1" applyAlignment="1">
      <alignment horizontal="center" vertical="center" wrapText="1"/>
    </xf>
    <xf numFmtId="4" fontId="48" fillId="20" borderId="54" xfId="0" applyNumberFormat="1" applyFont="1" applyFill="1" applyBorder="1" applyAlignment="1">
      <alignment horizontal="center" vertical="center" wrapText="1"/>
    </xf>
    <xf numFmtId="4" fontId="48" fillId="20" borderId="55" xfId="0" applyNumberFormat="1" applyFont="1" applyFill="1" applyBorder="1" applyAlignment="1">
      <alignment horizontal="center" vertical="center" wrapText="1"/>
    </xf>
    <xf numFmtId="4" fontId="52" fillId="0" borderId="25" xfId="0" applyNumberFormat="1" applyFont="1" applyBorder="1" applyAlignment="1">
      <alignment horizontal="center" vertical="center" wrapText="1"/>
    </xf>
    <xf numFmtId="0" fontId="0" fillId="0" borderId="57" xfId="0" applyBorder="1" applyAlignment="1">
      <alignment vertical="center"/>
    </xf>
    <xf numFmtId="0" fontId="50" fillId="0" borderId="58" xfId="0" applyFont="1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2" fontId="53" fillId="0" borderId="51" xfId="0" applyNumberFormat="1" applyFont="1" applyBorder="1" applyAlignment="1">
      <alignment horizontal="center" vertical="center"/>
    </xf>
    <xf numFmtId="0" fontId="0" fillId="0" borderId="52" xfId="0" applyBorder="1" applyAlignment="1">
      <alignment vertical="center"/>
    </xf>
    <xf numFmtId="2" fontId="22" fillId="0" borderId="52" xfId="0" applyNumberFormat="1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55" fillId="0" borderId="58" xfId="0" applyFont="1" applyBorder="1" applyAlignment="1">
      <alignment horizontal="center" vertical="center"/>
    </xf>
    <xf numFmtId="0" fontId="56" fillId="0" borderId="61" xfId="0" applyFont="1" applyBorder="1" applyAlignment="1">
      <alignment horizontal="center" vertical="center"/>
    </xf>
    <xf numFmtId="4" fontId="49" fillId="20" borderId="25" xfId="0" applyNumberFormat="1" applyFont="1" applyFill="1" applyBorder="1" applyAlignment="1">
      <alignment horizontal="center" vertical="center" wrapText="1"/>
    </xf>
    <xf numFmtId="4" fontId="42" fillId="20" borderId="25" xfId="0" applyNumberFormat="1" applyFont="1" applyFill="1" applyBorder="1" applyAlignment="1">
      <alignment horizontal="center" vertical="center" wrapText="1"/>
    </xf>
    <xf numFmtId="4" fontId="49" fillId="20" borderId="26" xfId="0" applyNumberFormat="1" applyFont="1" applyFill="1" applyBorder="1" applyAlignment="1">
      <alignment horizontal="center" vertical="center" wrapText="1"/>
    </xf>
    <xf numFmtId="4" fontId="49" fillId="20" borderId="48" xfId="0" applyNumberFormat="1" applyFont="1" applyFill="1" applyBorder="1" applyAlignment="1">
      <alignment horizontal="center" vertical="center" wrapText="1"/>
    </xf>
    <xf numFmtId="4" fontId="49" fillId="20" borderId="61" xfId="0" applyNumberFormat="1" applyFont="1" applyFill="1" applyBorder="1" applyAlignment="1">
      <alignment horizontal="center" vertical="center" wrapText="1"/>
    </xf>
    <xf numFmtId="2" fontId="55" fillId="0" borderId="52" xfId="0" applyNumberFormat="1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21" fillId="0" borderId="21" xfId="0" applyFont="1" applyBorder="1"/>
    <xf numFmtId="0" fontId="21" fillId="0" borderId="61" xfId="0" applyFont="1" applyBorder="1" applyAlignment="1">
      <alignment horizontal="center" vertical="center" wrapText="1"/>
    </xf>
    <xf numFmtId="0" fontId="48" fillId="0" borderId="32" xfId="0" applyFont="1" applyBorder="1" applyAlignment="1">
      <alignment horizontal="center" vertical="center"/>
    </xf>
    <xf numFmtId="0" fontId="48" fillId="0" borderId="47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4" fontId="48" fillId="20" borderId="28" xfId="0" applyNumberFormat="1" applyFont="1" applyFill="1" applyBorder="1" applyAlignment="1">
      <alignment horizontal="center" vertical="center" wrapText="1"/>
    </xf>
    <xf numFmtId="4" fontId="48" fillId="20" borderId="29" xfId="0" applyNumberFormat="1" applyFont="1" applyFill="1" applyBorder="1" applyAlignment="1">
      <alignment horizontal="center" vertical="center" wrapText="1"/>
    </xf>
    <xf numFmtId="4" fontId="24" fillId="20" borderId="28" xfId="0" applyNumberFormat="1" applyFont="1" applyFill="1" applyBorder="1" applyAlignment="1">
      <alignment horizontal="center" vertical="center" wrapText="1"/>
    </xf>
    <xf numFmtId="4" fontId="24" fillId="20" borderId="29" xfId="0" applyNumberFormat="1" applyFont="1" applyFill="1" applyBorder="1" applyAlignment="1">
      <alignment horizontal="center" vertical="center" wrapText="1"/>
    </xf>
    <xf numFmtId="0" fontId="46" fillId="0" borderId="58" xfId="0" applyFont="1" applyBorder="1" applyAlignment="1">
      <alignment horizontal="center" vertical="center"/>
    </xf>
    <xf numFmtId="4" fontId="41" fillId="0" borderId="40" xfId="0" applyNumberFormat="1" applyFont="1" applyBorder="1" applyAlignment="1">
      <alignment horizontal="center" vertical="center" wrapText="1"/>
    </xf>
    <xf numFmtId="4" fontId="41" fillId="0" borderId="41" xfId="0" applyNumberFormat="1" applyFont="1" applyBorder="1" applyAlignment="1">
      <alignment horizontal="center" vertical="center" wrapText="1"/>
    </xf>
    <xf numFmtId="4" fontId="41" fillId="0" borderId="36" xfId="0" applyNumberFormat="1" applyFont="1" applyBorder="1" applyAlignment="1">
      <alignment horizontal="center" vertical="center" wrapText="1"/>
    </xf>
    <xf numFmtId="4" fontId="41" fillId="0" borderId="42" xfId="0" applyNumberFormat="1" applyFont="1" applyBorder="1" applyAlignment="1">
      <alignment horizontal="center" vertical="center" wrapText="1"/>
    </xf>
    <xf numFmtId="0" fontId="21" fillId="0" borderId="58" xfId="0" applyFont="1" applyBorder="1" applyAlignment="1">
      <alignment horizontal="center" vertical="center"/>
    </xf>
    <xf numFmtId="0" fontId="43" fillId="0" borderId="58" xfId="0" applyFont="1" applyBorder="1" applyAlignment="1">
      <alignment horizontal="center" vertical="center"/>
    </xf>
    <xf numFmtId="0" fontId="43" fillId="0" borderId="59" xfId="0" applyFont="1" applyBorder="1" applyAlignment="1">
      <alignment horizontal="center" vertical="center"/>
    </xf>
    <xf numFmtId="4" fontId="24" fillId="0" borderId="43" xfId="0" applyNumberFormat="1" applyFont="1" applyBorder="1" applyAlignment="1">
      <alignment horizontal="center" vertical="center" wrapText="1"/>
    </xf>
    <xf numFmtId="0" fontId="0" fillId="0" borderId="39" xfId="0" applyBorder="1" applyAlignment="1">
      <alignment vertical="center"/>
    </xf>
    <xf numFmtId="4" fontId="24" fillId="0" borderId="44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vertical="center"/>
    </xf>
    <xf numFmtId="4" fontId="41" fillId="0" borderId="44" xfId="0" applyNumberFormat="1" applyFont="1" applyBorder="1" applyAlignment="1">
      <alignment horizontal="center" vertical="center" wrapText="1"/>
    </xf>
    <xf numFmtId="4" fontId="41" fillId="0" borderId="27" xfId="0" applyNumberFormat="1" applyFont="1" applyBorder="1" applyAlignment="1">
      <alignment horizontal="center" vertical="center" wrapText="1"/>
    </xf>
    <xf numFmtId="4" fontId="24" fillId="0" borderId="46" xfId="0" applyNumberFormat="1" applyFont="1" applyBorder="1" applyAlignment="1">
      <alignment horizontal="center" vertical="center" wrapText="1"/>
    </xf>
    <xf numFmtId="4" fontId="24" fillId="0" borderId="28" xfId="0" applyNumberFormat="1" applyFont="1" applyBorder="1" applyAlignment="1">
      <alignment horizontal="center" vertical="center" wrapText="1"/>
    </xf>
    <xf numFmtId="0" fontId="44" fillId="0" borderId="37" xfId="0" applyFont="1" applyBorder="1" applyAlignment="1">
      <alignment horizontal="center" vertical="center" wrapText="1"/>
    </xf>
    <xf numFmtId="0" fontId="44" fillId="0" borderId="34" xfId="0" applyFont="1" applyBorder="1" applyAlignment="1">
      <alignment horizontal="center" vertical="center" wrapText="1"/>
    </xf>
    <xf numFmtId="4" fontId="41" fillId="0" borderId="45" xfId="0" applyNumberFormat="1" applyFont="1" applyBorder="1" applyAlignment="1">
      <alignment horizontal="center" vertical="center" wrapText="1"/>
    </xf>
    <xf numFmtId="4" fontId="41" fillId="0" borderId="25" xfId="0" applyNumberFormat="1" applyFont="1" applyBorder="1" applyAlignment="1">
      <alignment horizontal="center" vertical="center" wrapText="1"/>
    </xf>
    <xf numFmtId="4" fontId="48" fillId="20" borderId="49" xfId="0" applyNumberFormat="1" applyFont="1" applyFill="1" applyBorder="1" applyAlignment="1">
      <alignment horizontal="center" vertical="center" wrapText="1"/>
    </xf>
    <xf numFmtId="4" fontId="48" fillId="20" borderId="50" xfId="0" applyNumberFormat="1" applyFont="1" applyFill="1" applyBorder="1" applyAlignment="1">
      <alignment horizontal="center" vertical="center" wrapText="1"/>
    </xf>
    <xf numFmtId="0" fontId="48" fillId="0" borderId="49" xfId="0" applyFont="1" applyBorder="1" applyAlignment="1">
      <alignment horizontal="center" vertical="center"/>
    </xf>
    <xf numFmtId="0" fontId="48" fillId="0" borderId="64" xfId="0" applyFont="1" applyBorder="1" applyAlignment="1">
      <alignment horizontal="center" vertical="center"/>
    </xf>
    <xf numFmtId="0" fontId="48" fillId="0" borderId="5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10" fontId="21" fillId="0" borderId="26" xfId="43" applyNumberFormat="1" applyFont="1" applyBorder="1" applyAlignment="1">
      <alignment horizontal="center" vertical="center" wrapText="1"/>
    </xf>
    <xf numFmtId="10" fontId="21" fillId="0" borderId="27" xfId="43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/>
    </xf>
    <xf numFmtId="2" fontId="22" fillId="0" borderId="52" xfId="0" applyNumberFormat="1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6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4" fontId="48" fillId="20" borderId="54" xfId="0" applyNumberFormat="1" applyFont="1" applyFill="1" applyBorder="1" applyAlignment="1">
      <alignment horizontal="center" vertical="center" wrapText="1"/>
    </xf>
    <xf numFmtId="4" fontId="48" fillId="20" borderId="55" xfId="0" applyNumberFormat="1" applyFont="1" applyFill="1" applyBorder="1" applyAlignment="1">
      <alignment horizontal="center" vertical="center" wrapText="1"/>
    </xf>
    <xf numFmtId="4" fontId="24" fillId="0" borderId="26" xfId="0" applyNumberFormat="1" applyFont="1" applyBorder="1" applyAlignment="1">
      <alignment horizontal="center" vertical="center" wrapText="1"/>
    </xf>
    <xf numFmtId="4" fontId="24" fillId="0" borderId="27" xfId="0" applyNumberFormat="1" applyFont="1" applyBorder="1" applyAlignment="1">
      <alignment horizontal="center" vertical="center" wrapText="1"/>
    </xf>
    <xf numFmtId="4" fontId="24" fillId="0" borderId="25" xfId="0" applyNumberFormat="1" applyFont="1" applyBorder="1" applyAlignment="1">
      <alignment horizontal="center" vertical="center" wrapText="1"/>
    </xf>
    <xf numFmtId="4" fontId="35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 vertical="center"/>
    </xf>
    <xf numFmtId="4" fontId="24" fillId="0" borderId="30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38" fillId="0" borderId="25" xfId="0" applyFont="1" applyBorder="1" applyAlignment="1">
      <alignment horizontal="center"/>
    </xf>
    <xf numFmtId="0" fontId="38" fillId="0" borderId="28" xfId="0" applyFont="1" applyBorder="1" applyAlignment="1">
      <alignment horizontal="center"/>
    </xf>
    <xf numFmtId="0" fontId="38" fillId="0" borderId="29" xfId="0" applyFont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3" builtinId="5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5000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950E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90"/>
  <sheetViews>
    <sheetView topLeftCell="B1" workbookViewId="0"/>
  </sheetViews>
  <sheetFormatPr defaultColWidth="8.85546875" defaultRowHeight="12.75"/>
  <cols>
    <col min="1" max="1" width="0" hidden="1" customWidth="1"/>
    <col min="2" max="2" width="13" customWidth="1"/>
    <col min="3" max="3" width="23.140625" customWidth="1"/>
    <col min="4" max="4" width="16.7109375" customWidth="1"/>
    <col min="5" max="5" width="15.85546875" customWidth="1"/>
    <col min="6" max="6" width="14.85546875" customWidth="1"/>
    <col min="7" max="7" width="18.42578125" customWidth="1"/>
    <col min="8" max="8" width="16.42578125" customWidth="1"/>
    <col min="9" max="9" width="17.85546875" customWidth="1"/>
    <col min="10" max="10" width="18.5703125" customWidth="1"/>
    <col min="11" max="11" width="18" customWidth="1"/>
    <col min="12" max="13" width="13.5703125" customWidth="1"/>
    <col min="14" max="14" width="13.140625" customWidth="1"/>
    <col min="15" max="15" width="12.140625" customWidth="1"/>
    <col min="16" max="16" width="15" customWidth="1"/>
    <col min="17" max="17" width="13" customWidth="1"/>
  </cols>
  <sheetData>
    <row r="2" spans="2:14" ht="17.649999999999999" customHeight="1">
      <c r="G2" s="1" t="s">
        <v>0</v>
      </c>
    </row>
    <row r="3" spans="2:14" ht="17.649999999999999" customHeight="1">
      <c r="G3" s="1"/>
    </row>
    <row r="4" spans="2:14" ht="19.5" customHeight="1">
      <c r="B4" s="1" t="s">
        <v>61</v>
      </c>
      <c r="C4" s="2"/>
      <c r="D4" s="2"/>
      <c r="E4" s="2"/>
      <c r="F4" s="2"/>
      <c r="G4" s="2"/>
      <c r="H4" s="2"/>
      <c r="I4" s="2"/>
      <c r="J4" s="1"/>
      <c r="L4" s="23" t="s">
        <v>76</v>
      </c>
      <c r="M4" s="3"/>
    </row>
    <row r="5" spans="2:14" ht="14.85" customHeight="1">
      <c r="B5" s="1"/>
      <c r="C5" s="2"/>
      <c r="D5" s="2"/>
      <c r="E5" s="2"/>
      <c r="F5" s="2"/>
      <c r="G5" s="2"/>
      <c r="H5" s="2"/>
      <c r="I5" s="2"/>
      <c r="J5" s="1"/>
      <c r="M5" s="3"/>
    </row>
    <row r="6" spans="2:14" ht="17.850000000000001" customHeight="1">
      <c r="B6" s="1"/>
      <c r="C6" s="4" t="s">
        <v>1</v>
      </c>
      <c r="D6" s="5"/>
      <c r="E6" s="6" t="s">
        <v>2</v>
      </c>
      <c r="F6" s="7" t="s">
        <v>3</v>
      </c>
      <c r="G6" s="7" t="s">
        <v>4</v>
      </c>
      <c r="H6" s="7" t="s">
        <v>5</v>
      </c>
      <c r="I6" s="7" t="s">
        <v>3</v>
      </c>
      <c r="J6" s="8" t="s">
        <v>6</v>
      </c>
      <c r="K6" s="9" t="s">
        <v>7</v>
      </c>
      <c r="L6" s="10"/>
    </row>
    <row r="7" spans="2:14" ht="17.100000000000001" customHeight="1" thickBot="1">
      <c r="B7" s="1"/>
      <c r="C7" s="11"/>
      <c r="D7" s="12"/>
      <c r="E7" s="13" t="s">
        <v>8</v>
      </c>
      <c r="F7" s="14" t="s">
        <v>9</v>
      </c>
      <c r="G7" s="15" t="s">
        <v>8</v>
      </c>
      <c r="H7" s="15" t="s">
        <v>8</v>
      </c>
      <c r="I7" s="14" t="s">
        <v>9</v>
      </c>
      <c r="J7" s="16" t="s">
        <v>8</v>
      </c>
      <c r="K7" s="17"/>
      <c r="L7" s="18"/>
    </row>
    <row r="8" spans="2:14" ht="17.850000000000001" customHeight="1">
      <c r="B8" s="1"/>
      <c r="C8" s="19" t="s">
        <v>10</v>
      </c>
      <c r="D8" s="20"/>
      <c r="E8" s="21"/>
      <c r="F8" s="22"/>
      <c r="G8" s="22"/>
      <c r="H8" s="19">
        <v>7647.86</v>
      </c>
      <c r="I8" s="19">
        <v>1</v>
      </c>
      <c r="J8" s="19">
        <f>PRODUCT(H8,I8)</f>
        <v>7647.86</v>
      </c>
      <c r="K8" s="23">
        <f>SUM(G8+J8)</f>
        <v>7647.86</v>
      </c>
      <c r="L8" s="21"/>
    </row>
    <row r="9" spans="2:14" ht="17.850000000000001" customHeight="1">
      <c r="B9" s="1"/>
      <c r="C9" s="24" t="s">
        <v>60</v>
      </c>
      <c r="D9" s="25"/>
      <c r="E9" s="21"/>
      <c r="F9" s="22"/>
      <c r="G9" s="22"/>
      <c r="H9" s="19"/>
      <c r="I9" s="19"/>
      <c r="J9" s="19"/>
      <c r="K9" s="23"/>
      <c r="L9" s="21"/>
    </row>
    <row r="10" spans="2:14" ht="14.1" customHeight="1">
      <c r="B10" s="1"/>
      <c r="C10" s="24" t="s">
        <v>70</v>
      </c>
      <c r="D10" s="25"/>
      <c r="E10" s="21"/>
      <c r="F10" s="22"/>
      <c r="G10" s="22"/>
      <c r="H10" s="22"/>
      <c r="I10" s="22"/>
      <c r="J10" s="22"/>
      <c r="L10" s="21"/>
    </row>
    <row r="11" spans="2:14" ht="18.600000000000001" customHeight="1">
      <c r="B11" s="1"/>
      <c r="C11" s="26" t="s">
        <v>11</v>
      </c>
      <c r="D11" s="20"/>
      <c r="E11" s="27">
        <f>E52+E85+E113+E145+E163+E186</f>
        <v>47147.29</v>
      </c>
      <c r="F11" s="19">
        <v>9</v>
      </c>
      <c r="G11" s="19">
        <f>PRODUCT(E11,F11)</f>
        <v>424325.61</v>
      </c>
      <c r="H11" s="19">
        <f>1807.81+1807.81+1832.47+1662.27+1024.36+1181.34</f>
        <v>9316.06</v>
      </c>
      <c r="I11" s="19">
        <v>9</v>
      </c>
      <c r="J11" s="19">
        <f>PRODUCT(H11,I11)</f>
        <v>83844.539999999994</v>
      </c>
      <c r="K11" s="23">
        <f>SUM(G11+J11)</f>
        <v>508170.14999999997</v>
      </c>
      <c r="L11" s="21"/>
      <c r="N11">
        <f>900*9</f>
        <v>8100</v>
      </c>
    </row>
    <row r="12" spans="2:14" ht="18.75" customHeight="1">
      <c r="B12" s="1"/>
      <c r="C12" s="25" t="s">
        <v>44</v>
      </c>
      <c r="D12" s="20"/>
      <c r="E12" s="21"/>
      <c r="F12" s="22"/>
      <c r="G12" s="22"/>
      <c r="H12" s="22"/>
      <c r="I12" s="22"/>
      <c r="J12" s="22"/>
      <c r="L12" s="21"/>
    </row>
    <row r="13" spans="2:14" ht="14.1" customHeight="1">
      <c r="B13" s="1"/>
      <c r="C13" s="19"/>
      <c r="D13" s="20"/>
      <c r="E13" s="21"/>
      <c r="F13" s="22"/>
      <c r="G13" s="22"/>
      <c r="H13" s="22"/>
      <c r="I13" s="22"/>
      <c r="J13" s="22"/>
      <c r="K13" s="23"/>
      <c r="L13" s="21"/>
    </row>
    <row r="14" spans="2:14" ht="17.649999999999999" customHeight="1">
      <c r="B14" s="1"/>
      <c r="C14" s="19" t="s">
        <v>12</v>
      </c>
      <c r="D14" s="20"/>
      <c r="E14" s="21"/>
      <c r="F14" s="22"/>
      <c r="G14" s="22"/>
      <c r="H14" s="19">
        <v>4720.54</v>
      </c>
      <c r="I14" s="19">
        <v>1</v>
      </c>
      <c r="J14" s="19">
        <f>PRODUCT(H14,I14)</f>
        <v>4720.54</v>
      </c>
      <c r="K14" s="23">
        <f>SUM(G14+J14)</f>
        <v>4720.54</v>
      </c>
      <c r="L14" s="21"/>
    </row>
    <row r="15" spans="2:14" ht="19.5" customHeight="1">
      <c r="B15" s="1"/>
      <c r="C15" s="24" t="s">
        <v>72</v>
      </c>
      <c r="D15" s="25"/>
      <c r="E15" s="21"/>
      <c r="F15" s="22"/>
      <c r="G15" s="22"/>
      <c r="H15" s="22"/>
      <c r="I15" s="22"/>
      <c r="J15" s="22"/>
      <c r="L15" s="21"/>
    </row>
    <row r="16" spans="2:14" ht="16.7" customHeight="1">
      <c r="B16" s="1"/>
      <c r="C16" s="24" t="s">
        <v>71</v>
      </c>
      <c r="D16" s="25"/>
      <c r="E16" s="21"/>
      <c r="F16" s="22"/>
      <c r="G16" s="22"/>
      <c r="H16" s="22"/>
      <c r="I16" s="22"/>
      <c r="J16" s="22"/>
      <c r="L16" s="21"/>
    </row>
    <row r="17" spans="1:15" ht="17.649999999999999" customHeight="1">
      <c r="B17" s="1"/>
      <c r="C17" s="24"/>
      <c r="D17" s="25"/>
      <c r="E17" s="21"/>
      <c r="F17" s="22"/>
      <c r="G17" s="22"/>
      <c r="H17" s="22"/>
      <c r="I17" s="22"/>
      <c r="J17" s="22"/>
      <c r="L17" s="21"/>
    </row>
    <row r="18" spans="1:15" ht="17.649999999999999" customHeight="1">
      <c r="B18" s="1"/>
      <c r="C18" s="24"/>
      <c r="D18" s="25"/>
      <c r="E18" s="21"/>
      <c r="F18" s="22"/>
      <c r="G18" s="22"/>
      <c r="H18" s="22"/>
      <c r="I18" s="22"/>
      <c r="J18" s="22"/>
      <c r="L18" s="21"/>
    </row>
    <row r="19" spans="1:15" ht="15.95" customHeight="1">
      <c r="B19" s="1"/>
      <c r="C19" s="28"/>
      <c r="D19" s="28"/>
      <c r="E19" s="21"/>
      <c r="F19" s="22"/>
      <c r="G19" s="22"/>
      <c r="H19" s="19"/>
      <c r="I19" s="22"/>
      <c r="J19" s="22"/>
      <c r="K19" s="20"/>
      <c r="L19" s="21"/>
    </row>
    <row r="20" spans="1:15" ht="17.850000000000001" customHeight="1">
      <c r="B20" s="1"/>
      <c r="C20" s="29" t="s">
        <v>13</v>
      </c>
      <c r="D20" s="30"/>
      <c r="E20" s="31">
        <f>SUM(E11:E19)</f>
        <v>47147.29</v>
      </c>
      <c r="F20" s="32"/>
      <c r="G20" s="29">
        <f>SUM(G8:G19)</f>
        <v>424325.61</v>
      </c>
      <c r="H20" s="32"/>
      <c r="I20" s="32"/>
      <c r="J20" s="29">
        <f>SUM(J8:J19)</f>
        <v>96212.939999999988</v>
      </c>
      <c r="K20" s="30">
        <f>SUM(K8:K19)</f>
        <v>520538.54999999993</v>
      </c>
      <c r="L20" s="33"/>
    </row>
    <row r="21" spans="1:15" ht="17.850000000000001" customHeight="1">
      <c r="B21" s="1"/>
    </row>
    <row r="22" spans="1:15" ht="17.850000000000001" customHeight="1">
      <c r="B22" s="1"/>
    </row>
    <row r="23" spans="1:15" ht="17.850000000000001" customHeight="1">
      <c r="B23" s="1"/>
      <c r="F23" s="34" t="s">
        <v>14</v>
      </c>
      <c r="G23" s="35" t="s">
        <v>15</v>
      </c>
      <c r="H23" s="34">
        <f>J20</f>
        <v>96212.939999999988</v>
      </c>
      <c r="I23" s="35"/>
      <c r="J23" s="36">
        <f>H23/H24*100</f>
        <v>22.674318432017333</v>
      </c>
      <c r="K23" s="37" t="s">
        <v>16</v>
      </c>
    </row>
    <row r="24" spans="1:15" ht="17.850000000000001" customHeight="1">
      <c r="B24" s="1"/>
      <c r="F24" s="35" t="s">
        <v>17</v>
      </c>
      <c r="H24" s="35">
        <f>G20</f>
        <v>424325.61</v>
      </c>
      <c r="I24" s="35"/>
      <c r="O24">
        <f>3250/6</f>
        <v>541.66666666666663</v>
      </c>
    </row>
    <row r="25" spans="1:15" ht="17.850000000000001" customHeight="1">
      <c r="B25" s="1"/>
      <c r="O25">
        <f>+O24/2</f>
        <v>270.83333333333331</v>
      </c>
    </row>
    <row r="26" spans="1:15" ht="17.850000000000001" customHeight="1">
      <c r="B26" s="1"/>
      <c r="E26" s="23" t="s">
        <v>18</v>
      </c>
      <c r="F26" s="23"/>
      <c r="G26" s="40" t="s">
        <v>75</v>
      </c>
      <c r="I26" s="35" t="s">
        <v>15</v>
      </c>
      <c r="J26" s="34">
        <v>7000</v>
      </c>
      <c r="K26" s="38"/>
      <c r="L26" s="39">
        <f>J26/J27*100</f>
        <v>1.6496765302476086</v>
      </c>
      <c r="M26" s="38" t="s">
        <v>16</v>
      </c>
    </row>
    <row r="27" spans="1:15" ht="17.850000000000001" customHeight="1">
      <c r="B27" s="1"/>
      <c r="E27" s="23" t="s">
        <v>68</v>
      </c>
      <c r="F27" s="23"/>
      <c r="G27" s="23"/>
      <c r="H27" s="40"/>
      <c r="J27" s="35">
        <f>G20</f>
        <v>424325.61</v>
      </c>
    </row>
    <row r="28" spans="1:15" ht="17.649999999999999" customHeight="1">
      <c r="B28" s="1"/>
      <c r="C28" s="41" t="s">
        <v>73</v>
      </c>
      <c r="D28" s="41"/>
      <c r="E28" s="42"/>
      <c r="F28" s="42"/>
      <c r="G28" s="42"/>
      <c r="H28" s="42"/>
    </row>
    <row r="29" spans="1:15" ht="17.649999999999999" customHeight="1">
      <c r="B29" s="1"/>
      <c r="C29" s="41" t="s">
        <v>74</v>
      </c>
      <c r="D29" s="41"/>
      <c r="E29" s="42"/>
      <c r="F29" s="42"/>
      <c r="G29" s="42"/>
      <c r="H29" s="42"/>
    </row>
    <row r="30" spans="1:15" ht="17.649999999999999" customHeight="1">
      <c r="B30" s="1"/>
      <c r="C30" s="41"/>
      <c r="D30" s="41"/>
      <c r="E30" s="42"/>
      <c r="F30" s="42"/>
      <c r="G30" s="42"/>
      <c r="H30" s="42"/>
    </row>
    <row r="31" spans="1:15" ht="17.649999999999999" customHeight="1">
      <c r="A31" t="s">
        <v>19</v>
      </c>
      <c r="B31" s="43" t="s">
        <v>62</v>
      </c>
      <c r="C31" s="41"/>
      <c r="D31" s="41"/>
      <c r="E31" s="42"/>
      <c r="F31" s="42"/>
      <c r="G31" s="42"/>
      <c r="H31" s="42"/>
    </row>
    <row r="32" spans="1:15" ht="13.35" customHeight="1">
      <c r="B32" s="1"/>
    </row>
    <row r="33" spans="2:16" ht="15.75">
      <c r="B33" s="7"/>
      <c r="C33" s="44"/>
      <c r="D33" s="44"/>
      <c r="E33" s="44"/>
      <c r="F33" s="44"/>
      <c r="G33" s="44"/>
      <c r="H33" s="44"/>
      <c r="I33" s="44"/>
      <c r="J33" s="44"/>
      <c r="K33" s="45"/>
      <c r="L33" s="7"/>
      <c r="M33" s="44"/>
      <c r="N33" s="44"/>
      <c r="O33" s="44"/>
    </row>
    <row r="34" spans="2:16" ht="15.75">
      <c r="B34" s="46"/>
      <c r="C34" s="47"/>
      <c r="D34" s="47" t="s">
        <v>20</v>
      </c>
      <c r="E34" s="47" t="s">
        <v>21</v>
      </c>
      <c r="F34" s="47" t="s">
        <v>22</v>
      </c>
      <c r="G34" s="47" t="s">
        <v>23</v>
      </c>
      <c r="H34" s="47" t="s">
        <v>24</v>
      </c>
      <c r="I34" s="47" t="s">
        <v>25</v>
      </c>
      <c r="J34" s="47" t="s">
        <v>26</v>
      </c>
      <c r="K34" s="46" t="s">
        <v>21</v>
      </c>
      <c r="L34" s="47" t="s">
        <v>27</v>
      </c>
      <c r="M34" s="47" t="s">
        <v>27</v>
      </c>
      <c r="N34" s="47" t="s">
        <v>27</v>
      </c>
      <c r="O34" s="47" t="s">
        <v>28</v>
      </c>
      <c r="P34" s="47" t="s">
        <v>77</v>
      </c>
    </row>
    <row r="35" spans="2:16" ht="15.75">
      <c r="B35" s="46" t="s">
        <v>29</v>
      </c>
      <c r="C35" s="47" t="s">
        <v>30</v>
      </c>
      <c r="D35" s="47" t="s">
        <v>8</v>
      </c>
      <c r="E35" s="47" t="s">
        <v>8</v>
      </c>
      <c r="F35" s="47" t="s">
        <v>8</v>
      </c>
      <c r="G35" s="47"/>
      <c r="H35" s="47" t="s">
        <v>8</v>
      </c>
      <c r="I35" s="47" t="s">
        <v>31</v>
      </c>
      <c r="J35" s="47" t="s">
        <v>32</v>
      </c>
      <c r="K35" s="46" t="s">
        <v>8</v>
      </c>
      <c r="L35" s="47" t="s">
        <v>33</v>
      </c>
      <c r="M35" s="47" t="s">
        <v>34</v>
      </c>
      <c r="N35" s="47" t="s">
        <v>35</v>
      </c>
      <c r="O35" s="47" t="s">
        <v>36</v>
      </c>
    </row>
    <row r="36" spans="2:16" ht="15.75">
      <c r="B36" s="46"/>
      <c r="C36" s="47"/>
      <c r="D36" s="47"/>
      <c r="E36" s="47"/>
      <c r="F36" s="47"/>
      <c r="G36" s="47"/>
      <c r="H36" s="47"/>
      <c r="I36" s="47" t="s">
        <v>8</v>
      </c>
      <c r="J36" s="35" t="s">
        <v>8</v>
      </c>
      <c r="K36" s="46" t="s">
        <v>16</v>
      </c>
      <c r="L36" s="47" t="s">
        <v>37</v>
      </c>
      <c r="M36" s="47"/>
      <c r="N36" s="47"/>
      <c r="O36" s="47"/>
    </row>
    <row r="37" spans="2:16" ht="15.75">
      <c r="B37" s="15"/>
      <c r="C37" s="48"/>
      <c r="D37" s="48"/>
      <c r="E37" s="48"/>
      <c r="F37" s="48"/>
      <c r="G37" s="48"/>
      <c r="H37" s="48"/>
      <c r="I37" s="48"/>
      <c r="J37" s="47" t="s">
        <v>16</v>
      </c>
      <c r="K37" s="48"/>
      <c r="L37" s="48"/>
      <c r="M37" s="48"/>
      <c r="N37" s="48"/>
      <c r="O37" s="48"/>
    </row>
    <row r="38" spans="2:16" ht="18.75">
      <c r="B38" s="15"/>
      <c r="C38" s="48" t="s">
        <v>45</v>
      </c>
      <c r="D38" s="48"/>
      <c r="E38" s="48"/>
      <c r="F38" s="48"/>
      <c r="G38" s="48"/>
      <c r="H38" s="48"/>
      <c r="I38" s="48"/>
      <c r="J38" s="49"/>
      <c r="K38" s="48"/>
      <c r="L38" s="48"/>
      <c r="M38" s="48"/>
      <c r="N38" s="48"/>
      <c r="O38" s="48"/>
    </row>
    <row r="39" spans="2:16" ht="15.75">
      <c r="B39" s="50"/>
      <c r="C39" s="47"/>
      <c r="D39" s="47"/>
      <c r="E39" s="47"/>
      <c r="F39" s="47"/>
      <c r="G39" s="47"/>
      <c r="H39" s="47"/>
      <c r="I39" s="47"/>
      <c r="J39" s="7"/>
      <c r="K39" s="47"/>
      <c r="L39" s="47"/>
      <c r="M39" s="47"/>
      <c r="N39" s="47"/>
      <c r="O39" s="47"/>
    </row>
    <row r="40" spans="2:16" ht="15.75">
      <c r="B40" s="19" t="s">
        <v>47</v>
      </c>
      <c r="C40" s="47" t="s">
        <v>59</v>
      </c>
      <c r="D40" s="51">
        <v>814.44</v>
      </c>
      <c r="E40" s="66">
        <v>928.16</v>
      </c>
      <c r="F40" s="52">
        <f>E40*J23/100</f>
        <v>210.45395395861206</v>
      </c>
      <c r="G40" s="52">
        <f>E40*L26/100</f>
        <v>15.311637683146206</v>
      </c>
      <c r="H40" s="52">
        <f>SUM(E40:F40:G40)</f>
        <v>1153.9255916417583</v>
      </c>
      <c r="I40" s="52">
        <v>1154</v>
      </c>
      <c r="J40" s="53">
        <f t="shared" ref="J40:J51" si="0">((F40+G40)/H40)*100</f>
        <v>19.565004301581371</v>
      </c>
      <c r="K40" s="53">
        <f>100-J40</f>
        <v>80.434995698418632</v>
      </c>
      <c r="L40" s="47">
        <v>1</v>
      </c>
      <c r="M40" s="47">
        <v>9</v>
      </c>
      <c r="N40" s="47">
        <v>1</v>
      </c>
      <c r="O40" s="47">
        <f t="shared" ref="O40:O51" si="1">L40*M40*N40</f>
        <v>9</v>
      </c>
      <c r="P40" s="73">
        <f>D40/I40*100</f>
        <v>70.575389948006944</v>
      </c>
    </row>
    <row r="41" spans="2:16" ht="15.75">
      <c r="B41" s="19" t="s">
        <v>48</v>
      </c>
      <c r="C41" s="47" t="s">
        <v>41</v>
      </c>
      <c r="D41" s="51">
        <v>651.5</v>
      </c>
      <c r="E41" s="66">
        <v>752.41</v>
      </c>
      <c r="F41" s="52">
        <f>E41*J23/100</f>
        <v>170.6038393143416</v>
      </c>
      <c r="G41" s="52">
        <f>E41*L26/100</f>
        <v>12.412331181236032</v>
      </c>
      <c r="H41" s="52">
        <f>SUM(E41:F41:G41)</f>
        <v>935.42617049557759</v>
      </c>
      <c r="I41" s="52">
        <v>936</v>
      </c>
      <c r="J41" s="53">
        <f t="shared" si="0"/>
        <v>19.565004301581368</v>
      </c>
      <c r="K41" s="53">
        <f t="shared" ref="K41:K51" si="2">100-J41</f>
        <v>80.434995698418632</v>
      </c>
      <c r="L41" s="47">
        <v>1</v>
      </c>
      <c r="M41" s="47">
        <v>9</v>
      </c>
      <c r="N41" s="47">
        <v>1</v>
      </c>
      <c r="O41" s="47">
        <f t="shared" si="1"/>
        <v>9</v>
      </c>
      <c r="P41" s="73">
        <f t="shared" ref="P41:P51" si="3">D41/I41*100</f>
        <v>69.604700854700852</v>
      </c>
    </row>
    <row r="42" spans="2:16" ht="15.75">
      <c r="B42" s="19" t="s">
        <v>49</v>
      </c>
      <c r="C42" s="47" t="s">
        <v>41</v>
      </c>
      <c r="D42" s="51">
        <v>663.86</v>
      </c>
      <c r="E42" s="66">
        <v>767.33</v>
      </c>
      <c r="F42" s="52">
        <f>E42*J23/100</f>
        <v>173.98684762439862</v>
      </c>
      <c r="G42" s="52">
        <f>E42*L26/100</f>
        <v>12.658462919548976</v>
      </c>
      <c r="H42" s="52">
        <f>SUM(E42:F42:G42)</f>
        <v>953.97531054394756</v>
      </c>
      <c r="I42" s="52">
        <v>954</v>
      </c>
      <c r="J42" s="53">
        <f t="shared" si="0"/>
        <v>19.565004301581375</v>
      </c>
      <c r="K42" s="53">
        <f t="shared" si="2"/>
        <v>80.434995698418618</v>
      </c>
      <c r="L42" s="47">
        <v>1</v>
      </c>
      <c r="M42" s="47">
        <v>9</v>
      </c>
      <c r="N42" s="47">
        <v>1</v>
      </c>
      <c r="O42" s="47">
        <f t="shared" si="1"/>
        <v>9</v>
      </c>
      <c r="P42" s="73">
        <f t="shared" si="3"/>
        <v>69.587002096436052</v>
      </c>
    </row>
    <row r="43" spans="2:16" ht="15.75">
      <c r="B43" s="19" t="s">
        <v>50</v>
      </c>
      <c r="C43" s="47" t="s">
        <v>41</v>
      </c>
      <c r="D43" s="51">
        <v>651.5</v>
      </c>
      <c r="E43" s="66">
        <v>752.41</v>
      </c>
      <c r="F43" s="52">
        <f>E43*J23/100</f>
        <v>170.6038393143416</v>
      </c>
      <c r="G43" s="52">
        <f>E43*L26/100</f>
        <v>12.412331181236032</v>
      </c>
      <c r="H43" s="52">
        <f>SUM(E43:F43:G43)</f>
        <v>935.42617049557759</v>
      </c>
      <c r="I43" s="52">
        <v>936</v>
      </c>
      <c r="J43" s="53">
        <f t="shared" si="0"/>
        <v>19.565004301581368</v>
      </c>
      <c r="K43" s="53">
        <f t="shared" si="2"/>
        <v>80.434995698418632</v>
      </c>
      <c r="L43" s="47">
        <v>1</v>
      </c>
      <c r="M43" s="47">
        <v>9</v>
      </c>
      <c r="N43" s="47">
        <v>1</v>
      </c>
      <c r="O43" s="47">
        <f t="shared" si="1"/>
        <v>9</v>
      </c>
      <c r="P43" s="73">
        <f t="shared" si="3"/>
        <v>69.604700854700852</v>
      </c>
    </row>
    <row r="44" spans="2:16" ht="15.75">
      <c r="B44" s="19" t="s">
        <v>51</v>
      </c>
      <c r="C44" s="47" t="s">
        <v>41</v>
      </c>
      <c r="D44" s="51">
        <v>663.86</v>
      </c>
      <c r="E44" s="66">
        <v>767.33</v>
      </c>
      <c r="F44" s="52">
        <f>E44*J23/100</f>
        <v>173.98684762439862</v>
      </c>
      <c r="G44" s="52">
        <f>E44*L26/100</f>
        <v>12.658462919548976</v>
      </c>
      <c r="H44" s="52">
        <f>SUM(E44:F44:G44)</f>
        <v>953.97531054394756</v>
      </c>
      <c r="I44" s="52">
        <v>954</v>
      </c>
      <c r="J44" s="53">
        <f t="shared" si="0"/>
        <v>19.565004301581375</v>
      </c>
      <c r="K44" s="53">
        <f t="shared" si="2"/>
        <v>80.434995698418618</v>
      </c>
      <c r="L44" s="47">
        <v>1</v>
      </c>
      <c r="M44" s="47">
        <v>9</v>
      </c>
      <c r="N44" s="47">
        <v>1</v>
      </c>
      <c r="O44" s="47">
        <f t="shared" si="1"/>
        <v>9</v>
      </c>
      <c r="P44" s="73">
        <f t="shared" si="3"/>
        <v>69.587002096436052</v>
      </c>
    </row>
    <row r="45" spans="2:16" ht="15.75">
      <c r="B45" s="19" t="s">
        <v>52</v>
      </c>
      <c r="C45" s="47" t="s">
        <v>41</v>
      </c>
      <c r="D45" s="51">
        <v>651.5</v>
      </c>
      <c r="E45" s="66">
        <v>752.41</v>
      </c>
      <c r="F45" s="52">
        <f>E45*J23/100</f>
        <v>170.6038393143416</v>
      </c>
      <c r="G45" s="52">
        <f>E45*L26/100</f>
        <v>12.412331181236032</v>
      </c>
      <c r="H45" s="52">
        <f>SUM(E45:F45:G45)</f>
        <v>935.42617049557759</v>
      </c>
      <c r="I45" s="52">
        <v>936</v>
      </c>
      <c r="J45" s="53">
        <f t="shared" si="0"/>
        <v>19.565004301581368</v>
      </c>
      <c r="K45" s="53">
        <f t="shared" si="2"/>
        <v>80.434995698418632</v>
      </c>
      <c r="L45" s="47">
        <v>1</v>
      </c>
      <c r="M45" s="47">
        <v>9</v>
      </c>
      <c r="N45" s="47">
        <v>1</v>
      </c>
      <c r="O45" s="47">
        <f t="shared" si="1"/>
        <v>9</v>
      </c>
      <c r="P45" s="73">
        <f t="shared" si="3"/>
        <v>69.604700854700852</v>
      </c>
    </row>
    <row r="46" spans="2:16" ht="15.75">
      <c r="B46" s="19" t="s">
        <v>53</v>
      </c>
      <c r="C46" s="47" t="s">
        <v>41</v>
      </c>
      <c r="D46" s="51">
        <v>663.86</v>
      </c>
      <c r="E46" s="66">
        <v>767.33</v>
      </c>
      <c r="F46" s="52">
        <f>E46*J23/100</f>
        <v>173.98684762439862</v>
      </c>
      <c r="G46" s="52">
        <f>E46*L26/100</f>
        <v>12.658462919548976</v>
      </c>
      <c r="H46" s="52">
        <f>SUM(E46:F46:G46)</f>
        <v>953.97531054394756</v>
      </c>
      <c r="I46" s="52">
        <v>954</v>
      </c>
      <c r="J46" s="53">
        <f t="shared" si="0"/>
        <v>19.565004301581375</v>
      </c>
      <c r="K46" s="53">
        <f t="shared" si="2"/>
        <v>80.434995698418618</v>
      </c>
      <c r="L46" s="47">
        <v>1</v>
      </c>
      <c r="M46" s="47">
        <v>9</v>
      </c>
      <c r="N46" s="47">
        <v>1</v>
      </c>
      <c r="O46" s="47">
        <f t="shared" si="1"/>
        <v>9</v>
      </c>
      <c r="P46" s="73">
        <f t="shared" si="3"/>
        <v>69.587002096436052</v>
      </c>
    </row>
    <row r="47" spans="2:16" ht="15.75">
      <c r="B47" s="19" t="s">
        <v>54</v>
      </c>
      <c r="C47" s="47" t="s">
        <v>41</v>
      </c>
      <c r="D47" s="51">
        <v>659.92</v>
      </c>
      <c r="E47" s="66">
        <v>763.08</v>
      </c>
      <c r="F47" s="52">
        <f>E47*J23/100</f>
        <v>173.02318909103789</v>
      </c>
      <c r="G47" s="52">
        <f>E47*L26/100</f>
        <v>12.588351667013454</v>
      </c>
      <c r="H47" s="52">
        <f>SUM(E47:F47:G47)</f>
        <v>948.69154075805136</v>
      </c>
      <c r="I47" s="52">
        <v>949</v>
      </c>
      <c r="J47" s="53">
        <f t="shared" si="0"/>
        <v>19.565004301581375</v>
      </c>
      <c r="K47" s="53">
        <f t="shared" si="2"/>
        <v>80.434995698418618</v>
      </c>
      <c r="L47" s="47">
        <v>1</v>
      </c>
      <c r="M47" s="47">
        <v>9</v>
      </c>
      <c r="N47" s="47">
        <v>1</v>
      </c>
      <c r="O47" s="47">
        <f t="shared" si="1"/>
        <v>9</v>
      </c>
      <c r="P47" s="73">
        <f t="shared" si="3"/>
        <v>69.538461538461533</v>
      </c>
    </row>
    <row r="48" spans="2:16" ht="15.75">
      <c r="B48" s="19" t="s">
        <v>55</v>
      </c>
      <c r="C48" s="47" t="s">
        <v>41</v>
      </c>
      <c r="D48" s="51">
        <v>665.33</v>
      </c>
      <c r="E48" s="66">
        <v>766.84</v>
      </c>
      <c r="F48" s="52">
        <f>E48*J23/100</f>
        <v>173.87574346408172</v>
      </c>
      <c r="G48" s="52">
        <f>E48*L26/100</f>
        <v>12.650379504550763</v>
      </c>
      <c r="H48" s="52">
        <f>SUM(E48:F48:G48)</f>
        <v>953.36612296863245</v>
      </c>
      <c r="I48" s="52">
        <v>954</v>
      </c>
      <c r="J48" s="53">
        <f t="shared" si="0"/>
        <v>19.565004301581371</v>
      </c>
      <c r="K48" s="53">
        <f t="shared" si="2"/>
        <v>80.434995698418632</v>
      </c>
      <c r="L48" s="47">
        <v>1</v>
      </c>
      <c r="M48" s="47">
        <v>9</v>
      </c>
      <c r="N48" s="47">
        <v>1</v>
      </c>
      <c r="O48" s="47">
        <f t="shared" si="1"/>
        <v>9</v>
      </c>
      <c r="P48" s="73">
        <f t="shared" si="3"/>
        <v>69.741090146750523</v>
      </c>
    </row>
    <row r="49" spans="1:16" ht="15.75">
      <c r="B49" s="19" t="s">
        <v>56</v>
      </c>
      <c r="C49" s="47" t="s">
        <v>41</v>
      </c>
      <c r="D49" s="51">
        <v>659.92</v>
      </c>
      <c r="E49" s="66">
        <v>762.27</v>
      </c>
      <c r="F49" s="52">
        <f>E49*J23/100</f>
        <v>172.83952711173853</v>
      </c>
      <c r="G49" s="52">
        <f>E49*L26/100</f>
        <v>12.574989287118447</v>
      </c>
      <c r="H49" s="52">
        <f>SUM(E49:F49:G49)</f>
        <v>947.684516398857</v>
      </c>
      <c r="I49" s="52">
        <v>948</v>
      </c>
      <c r="J49" s="53">
        <f t="shared" si="0"/>
        <v>19.565004301581371</v>
      </c>
      <c r="K49" s="53">
        <f t="shared" si="2"/>
        <v>80.434995698418632</v>
      </c>
      <c r="L49" s="47">
        <v>1</v>
      </c>
      <c r="M49" s="47">
        <v>9</v>
      </c>
      <c r="N49" s="47">
        <v>1</v>
      </c>
      <c r="O49" s="47">
        <f t="shared" si="1"/>
        <v>9</v>
      </c>
      <c r="P49" s="73">
        <f t="shared" si="3"/>
        <v>69.611814345991547</v>
      </c>
    </row>
    <row r="50" spans="1:16" ht="15.75">
      <c r="B50" s="19" t="s">
        <v>57</v>
      </c>
      <c r="C50" s="47" t="s">
        <v>59</v>
      </c>
      <c r="D50" s="51">
        <v>814.44</v>
      </c>
      <c r="E50" s="66">
        <v>928.16</v>
      </c>
      <c r="F50" s="52">
        <f>E50*J23/100</f>
        <v>210.45395395861206</v>
      </c>
      <c r="G50" s="52">
        <f>E50*L26/100</f>
        <v>15.311637683146206</v>
      </c>
      <c r="H50" s="52">
        <f>SUM(E50:F50:G50)</f>
        <v>1153.9255916417583</v>
      </c>
      <c r="I50" s="52">
        <v>1154</v>
      </c>
      <c r="J50" s="53">
        <f t="shared" si="0"/>
        <v>19.565004301581371</v>
      </c>
      <c r="K50" s="53">
        <f t="shared" si="2"/>
        <v>80.434995698418632</v>
      </c>
      <c r="L50" s="47">
        <v>1</v>
      </c>
      <c r="M50" s="47">
        <v>9</v>
      </c>
      <c r="N50" s="47">
        <v>1</v>
      </c>
      <c r="O50" s="47">
        <f t="shared" si="1"/>
        <v>9</v>
      </c>
      <c r="P50" s="73">
        <f t="shared" si="3"/>
        <v>70.575389948006944</v>
      </c>
    </row>
    <row r="51" spans="1:16" ht="16.5" thickBot="1">
      <c r="B51" s="19" t="s">
        <v>58</v>
      </c>
      <c r="C51" s="47" t="s">
        <v>41</v>
      </c>
      <c r="D51" s="51">
        <v>659.92</v>
      </c>
      <c r="E51" s="67">
        <v>761.44</v>
      </c>
      <c r="F51" s="52">
        <f>E51*J23/100</f>
        <v>172.65133026875279</v>
      </c>
      <c r="G51" s="52">
        <f>E51*L26/100</f>
        <v>12.561296971917393</v>
      </c>
      <c r="H51" s="52">
        <f>SUM(E51:F51:G51)</f>
        <v>946.6526272406702</v>
      </c>
      <c r="I51" s="52">
        <v>947</v>
      </c>
      <c r="J51" s="53">
        <f t="shared" si="0"/>
        <v>19.565004301581371</v>
      </c>
      <c r="K51" s="53">
        <f t="shared" si="2"/>
        <v>80.434995698418632</v>
      </c>
      <c r="L51" s="47">
        <v>1</v>
      </c>
      <c r="M51" s="47">
        <v>9</v>
      </c>
      <c r="N51" s="47">
        <v>1</v>
      </c>
      <c r="O51" s="47">
        <f t="shared" si="1"/>
        <v>9</v>
      </c>
      <c r="P51" s="73">
        <f t="shared" si="3"/>
        <v>69.685322069693768</v>
      </c>
    </row>
    <row r="52" spans="1:16" ht="16.5" thickBot="1">
      <c r="B52" s="29"/>
      <c r="C52" s="31"/>
      <c r="D52" s="54">
        <f t="shared" ref="D52:I52" si="4">SUM(D40:D51)</f>
        <v>8220.0499999999993</v>
      </c>
      <c r="E52" s="54">
        <f t="shared" si="4"/>
        <v>9469.17</v>
      </c>
      <c r="F52" s="54">
        <f t="shared" si="4"/>
        <v>2147.0697586690558</v>
      </c>
      <c r="G52" s="54">
        <f t="shared" si="4"/>
        <v>156.21067509924751</v>
      </c>
      <c r="H52" s="54">
        <f t="shared" si="4"/>
        <v>11772.450433768303</v>
      </c>
      <c r="I52" s="54">
        <f t="shared" si="4"/>
        <v>11776</v>
      </c>
      <c r="J52" s="55"/>
      <c r="K52" s="55"/>
      <c r="L52" s="55">
        <f>SUM(L40:L51)</f>
        <v>12</v>
      </c>
      <c r="M52" s="55">
        <v>9</v>
      </c>
      <c r="N52" s="55">
        <v>1</v>
      </c>
      <c r="O52" s="49">
        <f>SUM(O40:O51)</f>
        <v>108</v>
      </c>
      <c r="P52" s="75">
        <f>AVERAGE(P40:P50)</f>
        <v>69.783386798238922</v>
      </c>
    </row>
    <row r="53" spans="1:16" ht="17.649999999999999" customHeight="1">
      <c r="B53" s="56" t="s">
        <v>39</v>
      </c>
      <c r="C53" s="18"/>
      <c r="D53" s="14">
        <v>9</v>
      </c>
      <c r="E53" s="14">
        <v>9</v>
      </c>
      <c r="F53" s="14">
        <v>9</v>
      </c>
      <c r="G53" s="14">
        <v>9</v>
      </c>
      <c r="H53" s="57">
        <v>9</v>
      </c>
      <c r="I53" s="57">
        <v>9</v>
      </c>
      <c r="J53" s="58"/>
      <c r="K53" s="58"/>
      <c r="L53" s="58"/>
    </row>
    <row r="54" spans="1:16" ht="16.7" customHeight="1">
      <c r="B54" s="59"/>
      <c r="C54" s="59"/>
      <c r="D54" s="60">
        <f t="shared" ref="D54:I54" si="5">D52*D53</f>
        <v>73980.45</v>
      </c>
      <c r="E54" s="60">
        <f t="shared" si="5"/>
        <v>85222.53</v>
      </c>
      <c r="F54" s="60">
        <f t="shared" si="5"/>
        <v>19323.627828021501</v>
      </c>
      <c r="G54" s="60">
        <f t="shared" si="5"/>
        <v>1405.8960758932276</v>
      </c>
      <c r="H54" s="60">
        <f t="shared" si="5"/>
        <v>105952.05390391473</v>
      </c>
      <c r="I54" s="61">
        <f t="shared" si="5"/>
        <v>105984</v>
      </c>
      <c r="J54" s="58"/>
      <c r="K54" s="58"/>
      <c r="L54" s="58"/>
    </row>
    <row r="55" spans="1:16" ht="14.85" customHeight="1">
      <c r="B55" s="23"/>
      <c r="F55" s="23"/>
      <c r="G55" s="23"/>
      <c r="H55" s="58"/>
      <c r="I55" s="58"/>
      <c r="J55" s="58"/>
      <c r="K55" s="58"/>
      <c r="L55" s="58"/>
    </row>
    <row r="56" spans="1:16" ht="14.85" customHeight="1">
      <c r="B56" s="23"/>
      <c r="F56" s="23"/>
      <c r="G56" s="23"/>
      <c r="H56" s="58"/>
      <c r="I56" s="58"/>
      <c r="J56" s="58"/>
      <c r="K56" s="58"/>
      <c r="L56" s="58"/>
    </row>
    <row r="57" spans="1:16" ht="14.85" customHeight="1">
      <c r="B57" s="23"/>
      <c r="F57" s="23"/>
      <c r="G57" s="23"/>
      <c r="H57" s="58"/>
      <c r="I57" s="58"/>
      <c r="J57" s="58"/>
      <c r="K57" s="58"/>
      <c r="L57" s="58"/>
    </row>
    <row r="58" spans="1:16" ht="14.85" customHeight="1">
      <c r="B58" s="23"/>
      <c r="F58" s="23"/>
      <c r="G58" s="23"/>
      <c r="H58" s="58"/>
      <c r="I58" s="58"/>
      <c r="J58" s="58"/>
      <c r="K58" s="58"/>
      <c r="L58" s="58"/>
    </row>
    <row r="59" spans="1:16" ht="14.85" customHeight="1">
      <c r="B59" s="23"/>
      <c r="F59" s="23"/>
      <c r="G59" s="23"/>
      <c r="H59" s="58"/>
      <c r="I59" s="58"/>
      <c r="J59" s="58"/>
      <c r="K59" s="58"/>
      <c r="L59" s="58"/>
    </row>
    <row r="60" spans="1:16" ht="14.85" customHeight="1">
      <c r="B60" s="23"/>
      <c r="F60" s="23"/>
      <c r="G60" s="23"/>
      <c r="H60" s="58"/>
      <c r="I60" s="58"/>
      <c r="J60" s="58"/>
      <c r="K60" s="58"/>
      <c r="L60" s="58"/>
    </row>
    <row r="61" spans="1:16" ht="14.85" customHeight="1">
      <c r="B61" s="23"/>
      <c r="F61" s="23"/>
      <c r="G61" s="23"/>
      <c r="H61" s="58"/>
      <c r="I61" s="58"/>
      <c r="J61" s="58"/>
      <c r="K61" s="58"/>
      <c r="L61" s="58"/>
    </row>
    <row r="62" spans="1:16" ht="14.85" customHeight="1">
      <c r="B62" s="23"/>
      <c r="F62" s="23"/>
      <c r="G62" s="23"/>
      <c r="H62" s="58"/>
      <c r="I62" s="58"/>
      <c r="J62" s="58"/>
      <c r="K62" s="58"/>
      <c r="L62" s="58"/>
    </row>
    <row r="63" spans="1:16" ht="14.85" customHeight="1">
      <c r="B63" s="23"/>
      <c r="F63" s="23"/>
      <c r="G63" s="23"/>
      <c r="H63" s="58"/>
      <c r="I63" s="58"/>
      <c r="J63" s="58"/>
      <c r="K63" s="58"/>
      <c r="L63" s="58"/>
    </row>
    <row r="64" spans="1:16" ht="18">
      <c r="A64" t="s">
        <v>40</v>
      </c>
      <c r="B64" s="43" t="s">
        <v>63</v>
      </c>
      <c r="F64" s="23"/>
      <c r="G64" s="23"/>
      <c r="H64" s="58"/>
      <c r="I64" s="58"/>
      <c r="J64" s="58"/>
      <c r="K64" s="58"/>
      <c r="L64" s="58"/>
    </row>
    <row r="65" spans="2:16" ht="15.75">
      <c r="B65" s="23"/>
      <c r="F65" s="23"/>
      <c r="G65" s="23"/>
      <c r="H65" s="58"/>
      <c r="I65" s="58"/>
      <c r="J65" s="58"/>
      <c r="K65" s="58"/>
      <c r="L65" s="58"/>
    </row>
    <row r="66" spans="2:16" ht="15.75">
      <c r="B66" s="7"/>
      <c r="C66" s="44"/>
      <c r="D66" s="44"/>
      <c r="E66" s="44"/>
      <c r="F66" s="44"/>
      <c r="G66" s="44"/>
      <c r="H66" s="44"/>
      <c r="I66" s="44"/>
      <c r="J66" s="44"/>
      <c r="K66" s="45"/>
      <c r="L66" s="7"/>
      <c r="M66" s="44"/>
      <c r="N66" s="44"/>
      <c r="O66" s="44"/>
    </row>
    <row r="67" spans="2:16" ht="15.75">
      <c r="B67" s="46"/>
      <c r="C67" s="47"/>
      <c r="D67" s="47" t="s">
        <v>20</v>
      </c>
      <c r="E67" s="47" t="s">
        <v>21</v>
      </c>
      <c r="F67" s="47" t="s">
        <v>22</v>
      </c>
      <c r="G67" s="47" t="s">
        <v>23</v>
      </c>
      <c r="H67" s="47" t="s">
        <v>24</v>
      </c>
      <c r="I67" s="47" t="s">
        <v>25</v>
      </c>
      <c r="J67" s="47" t="s">
        <v>26</v>
      </c>
      <c r="K67" s="46" t="s">
        <v>21</v>
      </c>
      <c r="L67" s="47" t="s">
        <v>27</v>
      </c>
      <c r="M67" s="47" t="s">
        <v>27</v>
      </c>
      <c r="N67" s="47" t="s">
        <v>27</v>
      </c>
      <c r="O67" s="47" t="s">
        <v>28</v>
      </c>
    </row>
    <row r="68" spans="2:16" ht="15.75">
      <c r="B68" s="46" t="s">
        <v>29</v>
      </c>
      <c r="C68" s="47" t="s">
        <v>30</v>
      </c>
      <c r="D68" s="47" t="s">
        <v>8</v>
      </c>
      <c r="E68" s="47" t="s">
        <v>8</v>
      </c>
      <c r="F68" s="47" t="s">
        <v>8</v>
      </c>
      <c r="G68" s="47"/>
      <c r="H68" s="47" t="s">
        <v>8</v>
      </c>
      <c r="I68" s="47" t="s">
        <v>31</v>
      </c>
      <c r="J68" s="47" t="s">
        <v>32</v>
      </c>
      <c r="K68" s="46" t="s">
        <v>8</v>
      </c>
      <c r="L68" s="47" t="s">
        <v>33</v>
      </c>
      <c r="M68" s="47" t="s">
        <v>34</v>
      </c>
      <c r="N68" s="47" t="s">
        <v>35</v>
      </c>
      <c r="O68" s="47" t="s">
        <v>36</v>
      </c>
    </row>
    <row r="69" spans="2:16" ht="15.75">
      <c r="B69" s="46"/>
      <c r="C69" s="47"/>
      <c r="D69" s="47"/>
      <c r="E69" s="47"/>
      <c r="F69" s="47"/>
      <c r="G69" s="47"/>
      <c r="H69" s="47"/>
      <c r="I69" s="47" t="s">
        <v>8</v>
      </c>
      <c r="J69" s="35" t="s">
        <v>8</v>
      </c>
      <c r="K69" s="46" t="s">
        <v>16</v>
      </c>
      <c r="L69" s="47" t="s">
        <v>37</v>
      </c>
      <c r="M69" s="47"/>
      <c r="N69" s="47"/>
      <c r="O69" s="47"/>
    </row>
    <row r="70" spans="2:16" ht="15.75">
      <c r="B70" s="15"/>
      <c r="C70" s="48"/>
      <c r="D70" s="48"/>
      <c r="E70" s="48"/>
      <c r="F70" s="48"/>
      <c r="G70" s="48"/>
      <c r="H70" s="48"/>
      <c r="I70" s="48"/>
      <c r="J70" s="47" t="s">
        <v>16</v>
      </c>
      <c r="K70" s="48"/>
      <c r="L70" s="48"/>
      <c r="M70" s="48"/>
      <c r="N70" s="48"/>
      <c r="O70" s="48"/>
    </row>
    <row r="71" spans="2:16" ht="18.75">
      <c r="B71" s="15"/>
      <c r="C71" s="48" t="s">
        <v>45</v>
      </c>
      <c r="D71" s="48"/>
      <c r="E71" s="48"/>
      <c r="F71" s="48"/>
      <c r="G71" s="48"/>
      <c r="H71" s="48"/>
      <c r="I71" s="48"/>
      <c r="J71" s="49"/>
      <c r="K71" s="48"/>
      <c r="L71" s="48"/>
      <c r="M71" s="48"/>
      <c r="N71" s="48"/>
      <c r="O71" s="48"/>
    </row>
    <row r="72" spans="2:16" ht="15.75">
      <c r="B72" s="50"/>
      <c r="C72" s="47"/>
      <c r="D72" s="47"/>
      <c r="E72" s="47"/>
      <c r="F72" s="47"/>
      <c r="G72" s="47"/>
      <c r="H72" s="47"/>
      <c r="I72" s="47"/>
      <c r="J72" s="7"/>
      <c r="K72" s="47"/>
      <c r="L72" s="47"/>
      <c r="M72" s="47"/>
      <c r="N72" s="47"/>
      <c r="O72" s="47"/>
    </row>
    <row r="73" spans="2:16" ht="15.75">
      <c r="B73" s="19" t="s">
        <v>47</v>
      </c>
      <c r="C73" s="47" t="s">
        <v>59</v>
      </c>
      <c r="D73" s="51">
        <v>814.44</v>
      </c>
      <c r="E73" s="66">
        <v>928.16</v>
      </c>
      <c r="F73" s="52">
        <f>E73*J23/100</f>
        <v>210.45395395861206</v>
      </c>
      <c r="G73" s="52">
        <f>E73*L26/100</f>
        <v>15.311637683146206</v>
      </c>
      <c r="H73" s="52">
        <f>SUM(E73:F73:G73)</f>
        <v>1153.9255916417583</v>
      </c>
      <c r="I73" s="52">
        <v>1154</v>
      </c>
      <c r="J73" s="53">
        <f t="shared" ref="J73:J84" si="6">((F73+G73)/H73)*100</f>
        <v>19.565004301581371</v>
      </c>
      <c r="K73" s="53">
        <f t="shared" ref="K73:K84" si="7">100-J73</f>
        <v>80.434995698418632</v>
      </c>
      <c r="L73" s="47">
        <v>1</v>
      </c>
      <c r="M73" s="47">
        <v>9</v>
      </c>
      <c r="N73" s="47">
        <v>1</v>
      </c>
      <c r="O73" s="47">
        <f t="shared" ref="O73:O84" si="8">L73*M73*N73</f>
        <v>9</v>
      </c>
      <c r="P73" s="74">
        <f>D73/I73*100</f>
        <v>70.575389948006944</v>
      </c>
    </row>
    <row r="74" spans="2:16" ht="15.75">
      <c r="B74" s="19" t="s">
        <v>48</v>
      </c>
      <c r="C74" s="47" t="s">
        <v>41</v>
      </c>
      <c r="D74" s="51">
        <v>651.5</v>
      </c>
      <c r="E74" s="66">
        <v>752.41</v>
      </c>
      <c r="F74" s="52">
        <f>E74*J23/100</f>
        <v>170.6038393143416</v>
      </c>
      <c r="G74" s="52">
        <f>E74*L26/100</f>
        <v>12.412331181236032</v>
      </c>
      <c r="H74" s="52">
        <f>SUM(E74:F74:G74)</f>
        <v>935.42617049557759</v>
      </c>
      <c r="I74" s="52">
        <v>936</v>
      </c>
      <c r="J74" s="53">
        <f t="shared" si="6"/>
        <v>19.565004301581368</v>
      </c>
      <c r="K74" s="53">
        <f t="shared" si="7"/>
        <v>80.434995698418632</v>
      </c>
      <c r="L74" s="47">
        <v>1</v>
      </c>
      <c r="M74" s="47">
        <v>9</v>
      </c>
      <c r="N74" s="47">
        <v>1</v>
      </c>
      <c r="O74" s="47">
        <f t="shared" si="8"/>
        <v>9</v>
      </c>
      <c r="P74" s="74">
        <f t="shared" ref="P74:P83" si="9">D74/I74*100</f>
        <v>69.604700854700852</v>
      </c>
    </row>
    <row r="75" spans="2:16" ht="15.75">
      <c r="B75" s="19" t="s">
        <v>49</v>
      </c>
      <c r="C75" s="47" t="s">
        <v>41</v>
      </c>
      <c r="D75" s="51">
        <v>663.86</v>
      </c>
      <c r="E75" s="66">
        <v>767.33</v>
      </c>
      <c r="F75" s="52">
        <f>E75*J23/100</f>
        <v>173.98684762439862</v>
      </c>
      <c r="G75" s="52">
        <f>E75*L26/100</f>
        <v>12.658462919548976</v>
      </c>
      <c r="H75" s="52">
        <f>SUM(E75:F75:G75)</f>
        <v>953.97531054394756</v>
      </c>
      <c r="I75" s="52">
        <v>954</v>
      </c>
      <c r="J75" s="53">
        <f t="shared" si="6"/>
        <v>19.565004301581375</v>
      </c>
      <c r="K75" s="53">
        <f t="shared" si="7"/>
        <v>80.434995698418618</v>
      </c>
      <c r="L75" s="47">
        <v>1</v>
      </c>
      <c r="M75" s="47">
        <v>9</v>
      </c>
      <c r="N75" s="47">
        <v>1</v>
      </c>
      <c r="O75" s="47">
        <f t="shared" si="8"/>
        <v>9</v>
      </c>
      <c r="P75" s="74">
        <f t="shared" si="9"/>
        <v>69.587002096436052</v>
      </c>
    </row>
    <row r="76" spans="2:16" ht="15.75">
      <c r="B76" s="19" t="s">
        <v>50</v>
      </c>
      <c r="C76" s="47" t="s">
        <v>41</v>
      </c>
      <c r="D76" s="51">
        <v>651.5</v>
      </c>
      <c r="E76" s="66">
        <v>752.41</v>
      </c>
      <c r="F76" s="52">
        <f>E76*J23/100</f>
        <v>170.6038393143416</v>
      </c>
      <c r="G76" s="52">
        <f>E76*L26/100</f>
        <v>12.412331181236032</v>
      </c>
      <c r="H76" s="52">
        <f>SUM(E76:F76:G76)</f>
        <v>935.42617049557759</v>
      </c>
      <c r="I76" s="52">
        <v>936</v>
      </c>
      <c r="J76" s="53">
        <f t="shared" si="6"/>
        <v>19.565004301581368</v>
      </c>
      <c r="K76" s="53">
        <f t="shared" si="7"/>
        <v>80.434995698418632</v>
      </c>
      <c r="L76" s="47">
        <v>1</v>
      </c>
      <c r="M76" s="47">
        <v>9</v>
      </c>
      <c r="N76" s="47">
        <v>1</v>
      </c>
      <c r="O76" s="47">
        <f t="shared" si="8"/>
        <v>9</v>
      </c>
      <c r="P76" s="74">
        <f t="shared" si="9"/>
        <v>69.604700854700852</v>
      </c>
    </row>
    <row r="77" spans="2:16" ht="15.75">
      <c r="B77" s="19" t="s">
        <v>51</v>
      </c>
      <c r="C77" s="47" t="s">
        <v>41</v>
      </c>
      <c r="D77" s="51">
        <v>663.86</v>
      </c>
      <c r="E77" s="66">
        <v>767.33</v>
      </c>
      <c r="F77" s="52">
        <f>E77*J23/100</f>
        <v>173.98684762439862</v>
      </c>
      <c r="G77" s="52">
        <f>E77*L26/100</f>
        <v>12.658462919548976</v>
      </c>
      <c r="H77" s="52">
        <f>SUM(E77:F77:G77)</f>
        <v>953.97531054394756</v>
      </c>
      <c r="I77" s="52">
        <v>954</v>
      </c>
      <c r="J77" s="53">
        <f t="shared" si="6"/>
        <v>19.565004301581375</v>
      </c>
      <c r="K77" s="53">
        <f t="shared" si="7"/>
        <v>80.434995698418618</v>
      </c>
      <c r="L77" s="47">
        <v>1</v>
      </c>
      <c r="M77" s="47">
        <v>9</v>
      </c>
      <c r="N77" s="47">
        <v>1</v>
      </c>
      <c r="O77" s="47">
        <f t="shared" si="8"/>
        <v>9</v>
      </c>
      <c r="P77" s="74">
        <f t="shared" si="9"/>
        <v>69.587002096436052</v>
      </c>
    </row>
    <row r="78" spans="2:16" ht="15.75">
      <c r="B78" s="19" t="s">
        <v>52</v>
      </c>
      <c r="C78" s="47" t="s">
        <v>41</v>
      </c>
      <c r="D78" s="51">
        <v>651.5</v>
      </c>
      <c r="E78" s="66">
        <v>752.41</v>
      </c>
      <c r="F78" s="52">
        <f>E78*J23/100</f>
        <v>170.6038393143416</v>
      </c>
      <c r="G78" s="52">
        <f>E78*L26/100</f>
        <v>12.412331181236032</v>
      </c>
      <c r="H78" s="52">
        <f>SUM(E78:F78:G78)</f>
        <v>935.42617049557759</v>
      </c>
      <c r="I78" s="52">
        <v>936</v>
      </c>
      <c r="J78" s="53">
        <f t="shared" si="6"/>
        <v>19.565004301581368</v>
      </c>
      <c r="K78" s="53">
        <f t="shared" si="7"/>
        <v>80.434995698418632</v>
      </c>
      <c r="L78" s="47">
        <v>1</v>
      </c>
      <c r="M78" s="47">
        <v>9</v>
      </c>
      <c r="N78" s="47">
        <v>1</v>
      </c>
      <c r="O78" s="47">
        <f t="shared" si="8"/>
        <v>9</v>
      </c>
      <c r="P78" s="74">
        <f t="shared" si="9"/>
        <v>69.604700854700852</v>
      </c>
    </row>
    <row r="79" spans="2:16" ht="17.649999999999999" customHeight="1">
      <c r="B79" s="19" t="s">
        <v>53</v>
      </c>
      <c r="C79" s="47" t="s">
        <v>41</v>
      </c>
      <c r="D79" s="51">
        <v>663.86</v>
      </c>
      <c r="E79" s="66">
        <v>767.33</v>
      </c>
      <c r="F79" s="52">
        <f>E79*J23/100</f>
        <v>173.98684762439862</v>
      </c>
      <c r="G79" s="52">
        <f>E79*L26/100</f>
        <v>12.658462919548976</v>
      </c>
      <c r="H79" s="52">
        <f>SUM(E79:F79:G79)</f>
        <v>953.97531054394756</v>
      </c>
      <c r="I79" s="52">
        <v>954</v>
      </c>
      <c r="J79" s="53">
        <f t="shared" si="6"/>
        <v>19.565004301581375</v>
      </c>
      <c r="K79" s="53">
        <f t="shared" si="7"/>
        <v>80.434995698418618</v>
      </c>
      <c r="L79" s="47">
        <v>1</v>
      </c>
      <c r="M79" s="47">
        <v>9</v>
      </c>
      <c r="N79" s="47">
        <v>1</v>
      </c>
      <c r="O79" s="47">
        <f t="shared" si="8"/>
        <v>9</v>
      </c>
      <c r="P79" s="74">
        <f t="shared" si="9"/>
        <v>69.587002096436052</v>
      </c>
    </row>
    <row r="80" spans="2:16" ht="15.75">
      <c r="B80" s="19" t="s">
        <v>54</v>
      </c>
      <c r="C80" s="47" t="s">
        <v>41</v>
      </c>
      <c r="D80" s="51">
        <v>659.92</v>
      </c>
      <c r="E80" s="66">
        <v>763.08</v>
      </c>
      <c r="F80" s="52">
        <f>E80*J23/100</f>
        <v>173.02318909103789</v>
      </c>
      <c r="G80" s="52">
        <f>E80*L26/100</f>
        <v>12.588351667013454</v>
      </c>
      <c r="H80" s="52">
        <f>SUM(E80:F80:G80)</f>
        <v>948.69154075805136</v>
      </c>
      <c r="I80" s="52">
        <v>949</v>
      </c>
      <c r="J80" s="53">
        <f t="shared" si="6"/>
        <v>19.565004301581375</v>
      </c>
      <c r="K80" s="53">
        <f t="shared" si="7"/>
        <v>80.434995698418618</v>
      </c>
      <c r="L80" s="47">
        <v>1</v>
      </c>
      <c r="M80" s="47">
        <v>9</v>
      </c>
      <c r="N80" s="47">
        <v>1</v>
      </c>
      <c r="O80" s="47">
        <f t="shared" si="8"/>
        <v>9</v>
      </c>
      <c r="P80" s="74">
        <f t="shared" si="9"/>
        <v>69.538461538461533</v>
      </c>
    </row>
    <row r="81" spans="2:16" ht="15.75">
      <c r="B81" s="19" t="s">
        <v>55</v>
      </c>
      <c r="C81" s="47" t="s">
        <v>41</v>
      </c>
      <c r="D81" s="51">
        <v>665.33</v>
      </c>
      <c r="E81" s="66">
        <v>766.84</v>
      </c>
      <c r="F81" s="52">
        <f>E81*J23/100</f>
        <v>173.87574346408172</v>
      </c>
      <c r="G81" s="52">
        <f>E81*L26/100</f>
        <v>12.650379504550763</v>
      </c>
      <c r="H81" s="52">
        <f>SUM(E81:F81:G81)</f>
        <v>953.36612296863245</v>
      </c>
      <c r="I81" s="52">
        <v>954</v>
      </c>
      <c r="J81" s="53">
        <f t="shared" si="6"/>
        <v>19.565004301581371</v>
      </c>
      <c r="K81" s="53">
        <f t="shared" si="7"/>
        <v>80.434995698418632</v>
      </c>
      <c r="L81" s="47">
        <v>1</v>
      </c>
      <c r="M81" s="47">
        <v>9</v>
      </c>
      <c r="N81" s="47">
        <v>1</v>
      </c>
      <c r="O81" s="47">
        <f t="shared" si="8"/>
        <v>9</v>
      </c>
      <c r="P81" s="74">
        <f t="shared" si="9"/>
        <v>69.741090146750523</v>
      </c>
    </row>
    <row r="82" spans="2:16" ht="15.75">
      <c r="B82" s="19" t="s">
        <v>56</v>
      </c>
      <c r="C82" s="47" t="s">
        <v>41</v>
      </c>
      <c r="D82" s="51">
        <v>659.92</v>
      </c>
      <c r="E82" s="66">
        <v>762.27</v>
      </c>
      <c r="F82" s="52">
        <f>E82*J23/100</f>
        <v>172.83952711173853</v>
      </c>
      <c r="G82" s="52">
        <f>E82*L26/100</f>
        <v>12.574989287118447</v>
      </c>
      <c r="H82" s="52">
        <f>SUM(E82:F82:G82)</f>
        <v>947.684516398857</v>
      </c>
      <c r="I82" s="52">
        <v>948</v>
      </c>
      <c r="J82" s="53">
        <f t="shared" si="6"/>
        <v>19.565004301581371</v>
      </c>
      <c r="K82" s="53">
        <f t="shared" si="7"/>
        <v>80.434995698418632</v>
      </c>
      <c r="L82" s="47">
        <v>1</v>
      </c>
      <c r="M82" s="47">
        <v>9</v>
      </c>
      <c r="N82" s="47">
        <v>1</v>
      </c>
      <c r="O82" s="47">
        <f t="shared" si="8"/>
        <v>9</v>
      </c>
      <c r="P82" s="74">
        <f t="shared" si="9"/>
        <v>69.611814345991547</v>
      </c>
    </row>
    <row r="83" spans="2:16" ht="15.75">
      <c r="B83" s="19" t="s">
        <v>57</v>
      </c>
      <c r="C83" s="47" t="s">
        <v>59</v>
      </c>
      <c r="D83" s="51">
        <v>814.44</v>
      </c>
      <c r="E83" s="66">
        <v>928.16</v>
      </c>
      <c r="F83" s="52">
        <f>E83*J23/100</f>
        <v>210.45395395861206</v>
      </c>
      <c r="G83" s="52">
        <f>E83*L26/100</f>
        <v>15.311637683146206</v>
      </c>
      <c r="H83" s="52">
        <f>SUM(E83:F83:G83)</f>
        <v>1153.9255916417583</v>
      </c>
      <c r="I83" s="52">
        <v>1154</v>
      </c>
      <c r="J83" s="53">
        <f t="shared" si="6"/>
        <v>19.565004301581371</v>
      </c>
      <c r="K83" s="53">
        <f t="shared" si="7"/>
        <v>80.434995698418632</v>
      </c>
      <c r="L83" s="47">
        <v>1</v>
      </c>
      <c r="M83" s="47">
        <v>9</v>
      </c>
      <c r="N83" s="47">
        <v>1</v>
      </c>
      <c r="O83" s="47">
        <f t="shared" si="8"/>
        <v>9</v>
      </c>
      <c r="P83" s="74">
        <f t="shared" si="9"/>
        <v>70.575389948006944</v>
      </c>
    </row>
    <row r="84" spans="2:16" ht="16.5" thickBot="1">
      <c r="B84" s="19" t="s">
        <v>58</v>
      </c>
      <c r="C84" s="47" t="s">
        <v>41</v>
      </c>
      <c r="D84" s="51">
        <v>659.92</v>
      </c>
      <c r="E84" s="67">
        <v>761.44</v>
      </c>
      <c r="F84" s="52">
        <f>E84*J23/100</f>
        <v>172.65133026875279</v>
      </c>
      <c r="G84" s="52">
        <f>E84*L26/100</f>
        <v>12.561296971917393</v>
      </c>
      <c r="H84" s="52">
        <f>SUM(E84:F84:G84)</f>
        <v>946.6526272406702</v>
      </c>
      <c r="I84" s="52">
        <v>947</v>
      </c>
      <c r="J84" s="53">
        <f t="shared" si="6"/>
        <v>19.565004301581371</v>
      </c>
      <c r="K84" s="53">
        <f t="shared" si="7"/>
        <v>80.434995698418632</v>
      </c>
      <c r="L84" s="47">
        <v>1</v>
      </c>
      <c r="M84" s="47">
        <v>9</v>
      </c>
      <c r="N84" s="47">
        <v>1</v>
      </c>
      <c r="O84" s="47">
        <f t="shared" si="8"/>
        <v>9</v>
      </c>
    </row>
    <row r="85" spans="2:16" ht="16.5" thickBot="1">
      <c r="B85" s="29"/>
      <c r="C85" s="31"/>
      <c r="D85" s="54">
        <f t="shared" ref="D85:I85" si="10">SUM(D73:D84)</f>
        <v>8220.0499999999993</v>
      </c>
      <c r="E85" s="54">
        <f t="shared" si="10"/>
        <v>9469.17</v>
      </c>
      <c r="F85" s="54">
        <f t="shared" si="10"/>
        <v>2147.0697586690558</v>
      </c>
      <c r="G85" s="54">
        <f t="shared" si="10"/>
        <v>156.21067509924751</v>
      </c>
      <c r="H85" s="54">
        <f t="shared" si="10"/>
        <v>11772.450433768303</v>
      </c>
      <c r="I85" s="54">
        <f t="shared" si="10"/>
        <v>11776</v>
      </c>
      <c r="J85" s="55"/>
      <c r="K85" s="55"/>
      <c r="L85" s="55">
        <f>SUM(L73:L84)</f>
        <v>12</v>
      </c>
      <c r="M85" s="55">
        <v>9</v>
      </c>
      <c r="N85" s="55">
        <v>1</v>
      </c>
      <c r="O85" s="49">
        <f>SUM(O73:O84)</f>
        <v>108</v>
      </c>
      <c r="P85" s="75">
        <f>AVERAGE(P73:P83)</f>
        <v>69.783386798238922</v>
      </c>
    </row>
    <row r="86" spans="2:16" ht="15.75">
      <c r="B86" s="56" t="s">
        <v>39</v>
      </c>
      <c r="C86" s="18"/>
      <c r="D86" s="14">
        <v>9</v>
      </c>
      <c r="E86" s="14">
        <v>9</v>
      </c>
      <c r="F86" s="14">
        <v>9</v>
      </c>
      <c r="G86" s="14">
        <v>9</v>
      </c>
      <c r="H86" s="57">
        <v>9</v>
      </c>
      <c r="I86" s="57">
        <v>9</v>
      </c>
      <c r="J86" s="58"/>
      <c r="K86" s="58"/>
      <c r="L86" s="58"/>
    </row>
    <row r="87" spans="2:16" ht="15.75">
      <c r="B87" s="59"/>
      <c r="C87" s="59"/>
      <c r="D87" s="60">
        <f t="shared" ref="D87:I87" si="11">D85*D86</f>
        <v>73980.45</v>
      </c>
      <c r="E87" s="60">
        <f t="shared" si="11"/>
        <v>85222.53</v>
      </c>
      <c r="F87" s="60">
        <f t="shared" si="11"/>
        <v>19323.627828021501</v>
      </c>
      <c r="G87" s="60">
        <f t="shared" si="11"/>
        <v>1405.8960758932276</v>
      </c>
      <c r="H87" s="60">
        <f t="shared" si="11"/>
        <v>105952.05390391473</v>
      </c>
      <c r="I87" s="61">
        <f t="shared" si="11"/>
        <v>105984</v>
      </c>
      <c r="J87" s="58"/>
      <c r="K87" s="58"/>
      <c r="L87" s="58"/>
    </row>
    <row r="88" spans="2:16">
      <c r="H88" s="58"/>
      <c r="I88" s="58"/>
      <c r="J88" s="58"/>
      <c r="K88" s="58"/>
      <c r="L88" s="58"/>
    </row>
    <row r="89" spans="2:16">
      <c r="H89" s="58"/>
      <c r="I89" s="58"/>
      <c r="J89" s="58"/>
      <c r="K89" s="58"/>
      <c r="L89" s="58"/>
    </row>
    <row r="90" spans="2:16">
      <c r="H90" s="58"/>
      <c r="I90" s="58"/>
      <c r="J90" s="58"/>
      <c r="K90" s="58"/>
      <c r="L90" s="58"/>
    </row>
    <row r="91" spans="2:16" ht="18">
      <c r="B91" s="43" t="s">
        <v>64</v>
      </c>
      <c r="H91" s="58"/>
      <c r="I91" s="58"/>
      <c r="J91" s="58"/>
      <c r="K91" s="58"/>
      <c r="L91" s="58"/>
    </row>
    <row r="92" spans="2:16" ht="18">
      <c r="B92" s="43"/>
      <c r="H92" s="58"/>
      <c r="I92" s="58"/>
      <c r="J92" s="58"/>
      <c r="K92" s="58"/>
      <c r="L92" s="58"/>
    </row>
    <row r="93" spans="2:16" ht="13.5" thickBot="1">
      <c r="H93" s="58"/>
      <c r="I93" s="58"/>
      <c r="J93" s="58"/>
      <c r="K93" s="58"/>
      <c r="L93" s="58"/>
    </row>
    <row r="94" spans="2:16" ht="15.75">
      <c r="B94" s="7"/>
      <c r="C94" s="44"/>
      <c r="D94" s="44"/>
      <c r="E94" s="44"/>
      <c r="F94" s="44"/>
      <c r="G94" s="44"/>
      <c r="H94" s="44"/>
      <c r="I94" s="44"/>
      <c r="J94" s="44"/>
      <c r="K94" s="45"/>
      <c r="L94" s="7"/>
      <c r="M94" s="44"/>
      <c r="N94" s="44"/>
      <c r="O94" s="44"/>
    </row>
    <row r="95" spans="2:16" ht="15.75">
      <c r="B95" s="46"/>
      <c r="C95" s="47"/>
      <c r="D95" s="47" t="s">
        <v>20</v>
      </c>
      <c r="E95" s="47" t="s">
        <v>21</v>
      </c>
      <c r="F95" s="47" t="s">
        <v>22</v>
      </c>
      <c r="G95" s="47" t="s">
        <v>23</v>
      </c>
      <c r="H95" s="47" t="s">
        <v>24</v>
      </c>
      <c r="I95" s="47" t="s">
        <v>25</v>
      </c>
      <c r="J95" s="47" t="s">
        <v>26</v>
      </c>
      <c r="K95" s="46" t="s">
        <v>21</v>
      </c>
      <c r="L95" s="47" t="s">
        <v>27</v>
      </c>
      <c r="M95" s="47" t="s">
        <v>27</v>
      </c>
      <c r="N95" s="47" t="s">
        <v>27</v>
      </c>
      <c r="O95" s="47" t="s">
        <v>28</v>
      </c>
    </row>
    <row r="96" spans="2:16" ht="15.75">
      <c r="B96" s="46" t="s">
        <v>29</v>
      </c>
      <c r="C96" s="47" t="s">
        <v>30</v>
      </c>
      <c r="D96" s="47" t="s">
        <v>8</v>
      </c>
      <c r="E96" s="47" t="s">
        <v>8</v>
      </c>
      <c r="F96" s="47" t="s">
        <v>8</v>
      </c>
      <c r="G96" s="47"/>
      <c r="H96" s="47" t="s">
        <v>8</v>
      </c>
      <c r="I96" s="47" t="s">
        <v>31</v>
      </c>
      <c r="J96" s="47" t="s">
        <v>32</v>
      </c>
      <c r="K96" s="46" t="s">
        <v>8</v>
      </c>
      <c r="L96" s="47" t="s">
        <v>33</v>
      </c>
      <c r="M96" s="47" t="s">
        <v>34</v>
      </c>
      <c r="N96" s="47" t="s">
        <v>35</v>
      </c>
      <c r="O96" s="47" t="s">
        <v>36</v>
      </c>
    </row>
    <row r="97" spans="2:16" ht="15.75">
      <c r="B97" s="46"/>
      <c r="C97" s="47"/>
      <c r="D97" s="47"/>
      <c r="E97" s="47"/>
      <c r="F97" s="47"/>
      <c r="G97" s="47"/>
      <c r="H97" s="47"/>
      <c r="I97" s="47" t="s">
        <v>8</v>
      </c>
      <c r="J97" s="35" t="s">
        <v>8</v>
      </c>
      <c r="K97" s="46" t="s">
        <v>16</v>
      </c>
      <c r="L97" s="47" t="s">
        <v>37</v>
      </c>
      <c r="M97" s="47"/>
      <c r="N97" s="47"/>
      <c r="O97" s="47"/>
    </row>
    <row r="98" spans="2:16" ht="15.75">
      <c r="B98" s="15"/>
      <c r="C98" s="48"/>
      <c r="D98" s="48"/>
      <c r="E98" s="48"/>
      <c r="F98" s="48"/>
      <c r="G98" s="48"/>
      <c r="H98" s="48"/>
      <c r="I98" s="48"/>
      <c r="J98" s="47" t="s">
        <v>16</v>
      </c>
      <c r="K98" s="48"/>
      <c r="L98" s="48"/>
      <c r="M98" s="48"/>
      <c r="N98" s="48"/>
      <c r="O98" s="48"/>
    </row>
    <row r="99" spans="2:16" ht="19.5" thickBot="1">
      <c r="B99" s="15"/>
      <c r="C99" s="48" t="s">
        <v>45</v>
      </c>
      <c r="D99" s="48"/>
      <c r="E99" s="48"/>
      <c r="F99" s="48"/>
      <c r="G99" s="48"/>
      <c r="H99" s="48"/>
      <c r="I99" s="48"/>
      <c r="J99" s="49"/>
      <c r="K99" s="48"/>
      <c r="L99" s="48"/>
      <c r="M99" s="48"/>
      <c r="N99" s="48"/>
      <c r="O99" s="48"/>
    </row>
    <row r="100" spans="2:16" ht="15.75">
      <c r="B100" s="19" t="s">
        <v>47</v>
      </c>
      <c r="C100" s="47" t="s">
        <v>59</v>
      </c>
      <c r="D100" s="51">
        <v>814.44</v>
      </c>
      <c r="E100" s="68">
        <v>928.16</v>
      </c>
      <c r="F100" s="52">
        <f>E100*J23/100</f>
        <v>210.45395395861206</v>
      </c>
      <c r="G100" s="52">
        <f>E100*L26/100</f>
        <v>15.311637683146206</v>
      </c>
      <c r="H100" s="52">
        <f>SUM(E100:F100:G100)</f>
        <v>1153.9255916417583</v>
      </c>
      <c r="I100" s="52">
        <v>1154</v>
      </c>
      <c r="J100" s="53">
        <f t="shared" ref="J100:J111" si="12">((F100+G100)/H100)*100</f>
        <v>19.565004301581371</v>
      </c>
      <c r="K100" s="53">
        <f t="shared" ref="K100:K111" si="13">100-J100</f>
        <v>80.434995698418632</v>
      </c>
      <c r="L100" s="47">
        <v>1</v>
      </c>
      <c r="M100" s="47">
        <v>9</v>
      </c>
      <c r="N100" s="47">
        <v>1</v>
      </c>
      <c r="O100" s="47">
        <f t="shared" ref="O100:O111" si="14">L100*M100*N100</f>
        <v>9</v>
      </c>
      <c r="P100" s="74">
        <f>D100/I100*100</f>
        <v>70.575389948006944</v>
      </c>
    </row>
    <row r="101" spans="2:16" ht="15.75">
      <c r="B101" s="19" t="s">
        <v>48</v>
      </c>
      <c r="C101" s="47" t="s">
        <v>41</v>
      </c>
      <c r="D101" s="51">
        <v>651.5</v>
      </c>
      <c r="E101" s="66">
        <v>752.41</v>
      </c>
      <c r="F101" s="52">
        <f>E101*J23/100</f>
        <v>170.6038393143416</v>
      </c>
      <c r="G101" s="52">
        <f>E101*L26/100</f>
        <v>12.412331181236032</v>
      </c>
      <c r="H101" s="52">
        <f>SUM(E101:F101:G101)</f>
        <v>935.42617049557759</v>
      </c>
      <c r="I101" s="52">
        <v>936</v>
      </c>
      <c r="J101" s="53">
        <f t="shared" si="12"/>
        <v>19.565004301581368</v>
      </c>
      <c r="K101" s="53">
        <f t="shared" si="13"/>
        <v>80.434995698418632</v>
      </c>
      <c r="L101" s="47">
        <v>1</v>
      </c>
      <c r="M101" s="47">
        <v>9</v>
      </c>
      <c r="N101" s="47">
        <v>1</v>
      </c>
      <c r="O101" s="47">
        <f t="shared" si="14"/>
        <v>9</v>
      </c>
      <c r="P101" s="74">
        <f t="shared" ref="P101:P111" si="15">D101/I101*100</f>
        <v>69.604700854700852</v>
      </c>
    </row>
    <row r="102" spans="2:16" ht="15.75">
      <c r="B102" s="19" t="s">
        <v>49</v>
      </c>
      <c r="C102" s="47" t="s">
        <v>41</v>
      </c>
      <c r="D102" s="51">
        <v>663.86</v>
      </c>
      <c r="E102" s="66">
        <v>767.33</v>
      </c>
      <c r="F102" s="52">
        <f>E102*J23/100</f>
        <v>173.98684762439862</v>
      </c>
      <c r="G102" s="52">
        <f>E102*L26/100</f>
        <v>12.658462919548976</v>
      </c>
      <c r="H102" s="52">
        <f>SUM(E102:F102:G102)</f>
        <v>953.97531054394756</v>
      </c>
      <c r="I102" s="52">
        <v>954</v>
      </c>
      <c r="J102" s="53">
        <f t="shared" si="12"/>
        <v>19.565004301581375</v>
      </c>
      <c r="K102" s="53">
        <f t="shared" si="13"/>
        <v>80.434995698418618</v>
      </c>
      <c r="L102" s="47">
        <v>1</v>
      </c>
      <c r="M102" s="47">
        <v>9</v>
      </c>
      <c r="N102" s="47">
        <v>1</v>
      </c>
      <c r="O102" s="47">
        <f t="shared" si="14"/>
        <v>9</v>
      </c>
      <c r="P102" s="74">
        <f t="shared" si="15"/>
        <v>69.587002096436052</v>
      </c>
    </row>
    <row r="103" spans="2:16" ht="15.75">
      <c r="B103" s="19" t="s">
        <v>50</v>
      </c>
      <c r="C103" s="47" t="s">
        <v>41</v>
      </c>
      <c r="D103" s="51">
        <v>651.5</v>
      </c>
      <c r="E103" s="66">
        <v>752.41</v>
      </c>
      <c r="F103" s="52">
        <f>E103*J23/100</f>
        <v>170.6038393143416</v>
      </c>
      <c r="G103" s="52">
        <f>E103*L26/100</f>
        <v>12.412331181236032</v>
      </c>
      <c r="H103" s="52">
        <f>SUM(E103:F103:G103)</f>
        <v>935.42617049557759</v>
      </c>
      <c r="I103" s="52">
        <v>936</v>
      </c>
      <c r="J103" s="53">
        <f t="shared" si="12"/>
        <v>19.565004301581368</v>
      </c>
      <c r="K103" s="53">
        <f t="shared" si="13"/>
        <v>80.434995698418632</v>
      </c>
      <c r="L103" s="47">
        <v>1</v>
      </c>
      <c r="M103" s="47">
        <v>9</v>
      </c>
      <c r="N103" s="47">
        <v>1</v>
      </c>
      <c r="O103" s="47">
        <f t="shared" si="14"/>
        <v>9</v>
      </c>
      <c r="P103" s="74">
        <f t="shared" si="15"/>
        <v>69.604700854700852</v>
      </c>
    </row>
    <row r="104" spans="2:16" ht="15.75">
      <c r="B104" s="19" t="s">
        <v>51</v>
      </c>
      <c r="C104" s="47" t="s">
        <v>41</v>
      </c>
      <c r="D104" s="51">
        <v>663.86</v>
      </c>
      <c r="E104" s="66">
        <v>767.33</v>
      </c>
      <c r="F104" s="52">
        <f>E104*J23/100</f>
        <v>173.98684762439862</v>
      </c>
      <c r="G104" s="52">
        <f>E104*L26/100</f>
        <v>12.658462919548976</v>
      </c>
      <c r="H104" s="52">
        <f>SUM(E104:F104:G104)</f>
        <v>953.97531054394756</v>
      </c>
      <c r="I104" s="52">
        <v>954</v>
      </c>
      <c r="J104" s="53">
        <f t="shared" si="12"/>
        <v>19.565004301581375</v>
      </c>
      <c r="K104" s="53">
        <f t="shared" si="13"/>
        <v>80.434995698418618</v>
      </c>
      <c r="L104" s="47">
        <v>1</v>
      </c>
      <c r="M104" s="47">
        <v>9</v>
      </c>
      <c r="N104" s="47">
        <v>1</v>
      </c>
      <c r="O104" s="47">
        <f t="shared" si="14"/>
        <v>9</v>
      </c>
      <c r="P104" s="74">
        <f t="shared" si="15"/>
        <v>69.587002096436052</v>
      </c>
    </row>
    <row r="105" spans="2:16" ht="15.75">
      <c r="B105" s="19" t="s">
        <v>52</v>
      </c>
      <c r="C105" s="47" t="s">
        <v>41</v>
      </c>
      <c r="D105" s="51">
        <v>651.5</v>
      </c>
      <c r="E105" s="66">
        <v>756.08</v>
      </c>
      <c r="F105" s="52">
        <f>E105*J23/100</f>
        <v>171.43598680079668</v>
      </c>
      <c r="G105" s="52">
        <f>E105*L26/100</f>
        <v>12.47287430989612</v>
      </c>
      <c r="H105" s="52">
        <f>SUM(E105:F105:G105)</f>
        <v>939.98886111069294</v>
      </c>
      <c r="I105" s="52">
        <v>940</v>
      </c>
      <c r="J105" s="53">
        <f t="shared" si="12"/>
        <v>19.565004301581371</v>
      </c>
      <c r="K105" s="53">
        <f t="shared" si="13"/>
        <v>80.434995698418632</v>
      </c>
      <c r="L105" s="47">
        <v>1</v>
      </c>
      <c r="M105" s="47">
        <v>9</v>
      </c>
      <c r="N105" s="47">
        <v>1</v>
      </c>
      <c r="O105" s="47">
        <f t="shared" si="14"/>
        <v>9</v>
      </c>
      <c r="P105" s="74">
        <f t="shared" si="15"/>
        <v>69.308510638297875</v>
      </c>
    </row>
    <row r="106" spans="2:16" ht="15.75">
      <c r="B106" s="19" t="s">
        <v>53</v>
      </c>
      <c r="C106" s="47" t="s">
        <v>38</v>
      </c>
      <c r="D106" s="51">
        <v>968.97</v>
      </c>
      <c r="E106" s="66">
        <v>1055.23</v>
      </c>
      <c r="F106" s="52">
        <f>E106*J23/100</f>
        <v>239.26621039017652</v>
      </c>
      <c r="G106" s="52">
        <f>E106*L26/100</f>
        <v>17.407881650131841</v>
      </c>
      <c r="H106" s="52">
        <f>SUM(E106:F106:G106)</f>
        <v>1311.9040920403086</v>
      </c>
      <c r="I106" s="52">
        <v>1312</v>
      </c>
      <c r="J106" s="53">
        <f t="shared" si="12"/>
        <v>19.565004301581371</v>
      </c>
      <c r="K106" s="53">
        <f t="shared" si="13"/>
        <v>80.434995698418632</v>
      </c>
      <c r="L106" s="47">
        <v>1</v>
      </c>
      <c r="M106" s="47">
        <v>9</v>
      </c>
      <c r="N106" s="47">
        <v>1</v>
      </c>
      <c r="O106" s="47">
        <f t="shared" si="14"/>
        <v>9</v>
      </c>
      <c r="P106" s="74">
        <f t="shared" si="15"/>
        <v>73.854420731707322</v>
      </c>
    </row>
    <row r="107" spans="2:16" ht="15.75">
      <c r="B107" s="19" t="s">
        <v>54</v>
      </c>
      <c r="C107" s="47" t="s">
        <v>38</v>
      </c>
      <c r="D107" s="51">
        <v>948.02</v>
      </c>
      <c r="E107" s="66">
        <v>1078.5</v>
      </c>
      <c r="F107" s="52">
        <f>E107*J23/100</f>
        <v>244.54252428930693</v>
      </c>
      <c r="G107" s="52">
        <f>E107*L26/100</f>
        <v>17.791761378720459</v>
      </c>
      <c r="H107" s="52">
        <f>SUM(E107:F107:G107)</f>
        <v>1340.8342856680274</v>
      </c>
      <c r="I107" s="52">
        <v>1341</v>
      </c>
      <c r="J107" s="53">
        <f t="shared" si="12"/>
        <v>19.565004301581371</v>
      </c>
      <c r="K107" s="53">
        <f t="shared" si="13"/>
        <v>80.434995698418632</v>
      </c>
      <c r="L107" s="47">
        <v>1</v>
      </c>
      <c r="M107" s="47">
        <v>9</v>
      </c>
      <c r="N107" s="47">
        <v>1</v>
      </c>
      <c r="O107" s="47">
        <f t="shared" si="14"/>
        <v>9</v>
      </c>
      <c r="P107" s="74">
        <f t="shared" si="15"/>
        <v>70.695003728560778</v>
      </c>
    </row>
    <row r="108" spans="2:16" ht="15.75">
      <c r="B108" s="19" t="s">
        <v>55</v>
      </c>
      <c r="C108" s="47" t="s">
        <v>59</v>
      </c>
      <c r="D108" s="51">
        <v>814.44</v>
      </c>
      <c r="E108" s="66">
        <v>923.41</v>
      </c>
      <c r="F108" s="52">
        <f>E108*J23/100</f>
        <v>209.37692383309124</v>
      </c>
      <c r="G108" s="52">
        <f>E108*L26/100</f>
        <v>15.233278047959443</v>
      </c>
      <c r="H108" s="52">
        <f>SUM(E108:F108:G108)</f>
        <v>1148.0202018810505</v>
      </c>
      <c r="I108" s="52">
        <v>1148</v>
      </c>
      <c r="J108" s="53">
        <f t="shared" si="12"/>
        <v>19.565004301581371</v>
      </c>
      <c r="K108" s="53">
        <f t="shared" si="13"/>
        <v>80.434995698418632</v>
      </c>
      <c r="L108" s="47">
        <v>1</v>
      </c>
      <c r="M108" s="47">
        <v>9</v>
      </c>
      <c r="N108" s="47">
        <v>1</v>
      </c>
      <c r="O108" s="47">
        <f t="shared" si="14"/>
        <v>9</v>
      </c>
      <c r="P108" s="74">
        <f t="shared" si="15"/>
        <v>70.944250871080143</v>
      </c>
    </row>
    <row r="109" spans="2:16" ht="15.75">
      <c r="B109" s="19" t="s">
        <v>56</v>
      </c>
      <c r="C109" s="47" t="s">
        <v>41</v>
      </c>
      <c r="D109" s="51">
        <v>659.92</v>
      </c>
      <c r="E109" s="66">
        <v>761.44</v>
      </c>
      <c r="F109" s="52">
        <f>E109*J23/100</f>
        <v>172.65133026875279</v>
      </c>
      <c r="G109" s="52">
        <f>E109*L26/100</f>
        <v>12.561296971917393</v>
      </c>
      <c r="H109" s="52">
        <f>SUM(E109:F109:G109)</f>
        <v>946.6526272406702</v>
      </c>
      <c r="I109" s="52">
        <v>947</v>
      </c>
      <c r="J109" s="53">
        <f t="shared" si="12"/>
        <v>19.565004301581371</v>
      </c>
      <c r="K109" s="53">
        <f t="shared" si="13"/>
        <v>80.434995698418632</v>
      </c>
      <c r="L109" s="47">
        <v>1</v>
      </c>
      <c r="M109" s="47">
        <v>9</v>
      </c>
      <c r="N109" s="47">
        <v>1</v>
      </c>
      <c r="O109" s="47">
        <f t="shared" si="14"/>
        <v>9</v>
      </c>
      <c r="P109" s="74">
        <f t="shared" si="15"/>
        <v>69.685322069693768</v>
      </c>
    </row>
    <row r="110" spans="2:16" ht="15.75">
      <c r="B110" s="19" t="s">
        <v>57</v>
      </c>
      <c r="C110" s="47" t="s">
        <v>59</v>
      </c>
      <c r="D110" s="51">
        <v>814.44</v>
      </c>
      <c r="E110" s="66">
        <v>928.16</v>
      </c>
      <c r="F110" s="52">
        <f>E110*J23/100</f>
        <v>210.45395395861206</v>
      </c>
      <c r="G110" s="52">
        <f>E110*L26/100</f>
        <v>15.311637683146206</v>
      </c>
      <c r="H110" s="52">
        <f>SUM(E110:F110:G110)</f>
        <v>1153.9255916417583</v>
      </c>
      <c r="I110" s="52">
        <v>1154</v>
      </c>
      <c r="J110" s="53">
        <f t="shared" si="12"/>
        <v>19.565004301581371</v>
      </c>
      <c r="K110" s="53">
        <f t="shared" si="13"/>
        <v>80.434995698418632</v>
      </c>
      <c r="L110" s="47">
        <v>1</v>
      </c>
      <c r="M110" s="47">
        <v>9</v>
      </c>
      <c r="N110" s="47">
        <v>1</v>
      </c>
      <c r="O110" s="47">
        <f t="shared" si="14"/>
        <v>9</v>
      </c>
      <c r="P110" s="74">
        <f t="shared" si="15"/>
        <v>70.575389948006944</v>
      </c>
    </row>
    <row r="111" spans="2:16" ht="15.75">
      <c r="B111" s="19" t="s">
        <v>58</v>
      </c>
      <c r="C111" s="47" t="s">
        <v>41</v>
      </c>
      <c r="D111" s="51">
        <v>659.92</v>
      </c>
      <c r="E111" s="66">
        <v>761.44</v>
      </c>
      <c r="F111" s="52">
        <f>E111*J23/100</f>
        <v>172.65133026875279</v>
      </c>
      <c r="G111" s="52">
        <f>E111*L26/100</f>
        <v>12.561296971917393</v>
      </c>
      <c r="H111" s="52">
        <f>SUM(E111:F111:G111)</f>
        <v>946.6526272406702</v>
      </c>
      <c r="I111" s="52">
        <v>947</v>
      </c>
      <c r="J111" s="53">
        <f t="shared" si="12"/>
        <v>19.565004301581371</v>
      </c>
      <c r="K111" s="53">
        <f t="shared" si="13"/>
        <v>80.434995698418632</v>
      </c>
      <c r="L111" s="47">
        <v>1</v>
      </c>
      <c r="M111" s="47">
        <v>9</v>
      </c>
      <c r="N111" s="47">
        <v>1</v>
      </c>
      <c r="O111" s="47">
        <f t="shared" si="14"/>
        <v>9</v>
      </c>
      <c r="P111" s="74">
        <f t="shared" si="15"/>
        <v>69.685322069693768</v>
      </c>
    </row>
    <row r="112" spans="2:16" ht="16.5" thickBot="1">
      <c r="B112" s="19"/>
      <c r="C112" s="27"/>
      <c r="D112" s="27"/>
      <c r="E112" s="14"/>
      <c r="F112" s="27"/>
      <c r="G112" s="27"/>
      <c r="H112" s="27"/>
      <c r="I112" s="27"/>
      <c r="J112" s="47"/>
      <c r="K112" s="47"/>
      <c r="L112" s="47"/>
      <c r="M112" s="47"/>
      <c r="N112" s="47"/>
      <c r="O112" s="47"/>
      <c r="P112" s="71"/>
    </row>
    <row r="113" spans="2:16" ht="16.5" thickBot="1">
      <c r="B113" s="29"/>
      <c r="C113" s="31"/>
      <c r="D113" s="54">
        <f t="shared" ref="D113:I113" si="16">SUM(D100:D111)</f>
        <v>8962.3700000000008</v>
      </c>
      <c r="E113" s="54">
        <f t="shared" si="16"/>
        <v>10231.900000000001</v>
      </c>
      <c r="F113" s="54">
        <f t="shared" si="16"/>
        <v>2320.0135876455815</v>
      </c>
      <c r="G113" s="54">
        <f t="shared" si="16"/>
        <v>168.79325289840506</v>
      </c>
      <c r="H113" s="54">
        <f t="shared" si="16"/>
        <v>12720.706840543986</v>
      </c>
      <c r="I113" s="54">
        <f t="shared" si="16"/>
        <v>12723</v>
      </c>
      <c r="J113" s="55"/>
      <c r="K113" s="55"/>
      <c r="L113" s="55">
        <f>SUM(L100:L111)</f>
        <v>12</v>
      </c>
      <c r="M113" s="55">
        <v>9</v>
      </c>
      <c r="N113" s="55">
        <v>1</v>
      </c>
      <c r="O113" s="49">
        <f>SUM(O100:O112)</f>
        <v>108</v>
      </c>
      <c r="P113" s="75">
        <f>AVERAGE(P100:P111)</f>
        <v>70.308917992276761</v>
      </c>
    </row>
    <row r="114" spans="2:16" ht="16.5" thickBot="1">
      <c r="B114" s="56" t="s">
        <v>39</v>
      </c>
      <c r="C114" s="18"/>
      <c r="D114" s="14">
        <v>9</v>
      </c>
      <c r="E114" s="14">
        <v>9</v>
      </c>
      <c r="F114" s="14">
        <v>9</v>
      </c>
      <c r="G114" s="14">
        <v>9</v>
      </c>
      <c r="H114" s="57">
        <v>9</v>
      </c>
      <c r="I114" s="57">
        <v>9</v>
      </c>
      <c r="J114" s="58"/>
      <c r="K114" s="58"/>
      <c r="L114" s="58"/>
    </row>
    <row r="115" spans="2:16" ht="15.75">
      <c r="B115" s="59"/>
      <c r="C115" s="59"/>
      <c r="D115" s="60">
        <f t="shared" ref="D115:I115" si="17">D113*D114</f>
        <v>80661.33</v>
      </c>
      <c r="E115" s="60">
        <f t="shared" si="17"/>
        <v>92087.1</v>
      </c>
      <c r="F115" s="60">
        <f t="shared" si="17"/>
        <v>20880.122288810235</v>
      </c>
      <c r="G115" s="60">
        <f t="shared" si="17"/>
        <v>1519.1392760856456</v>
      </c>
      <c r="H115" s="60">
        <f t="shared" si="17"/>
        <v>114486.36156489587</v>
      </c>
      <c r="I115" s="61">
        <f t="shared" si="17"/>
        <v>114507</v>
      </c>
      <c r="J115" s="58"/>
      <c r="K115" s="58"/>
      <c r="L115" s="58"/>
    </row>
    <row r="116" spans="2:16">
      <c r="H116" s="58"/>
      <c r="I116" s="58"/>
      <c r="J116" s="58"/>
      <c r="K116" s="58"/>
      <c r="L116" s="58"/>
    </row>
    <row r="117" spans="2:16">
      <c r="H117" s="58"/>
      <c r="I117" s="58"/>
      <c r="J117" s="58"/>
      <c r="K117" s="58"/>
      <c r="L117" s="58"/>
    </row>
    <row r="118" spans="2:16">
      <c r="H118" s="58"/>
      <c r="I118" s="58"/>
      <c r="J118" s="58"/>
      <c r="K118" s="58"/>
      <c r="L118" s="58"/>
    </row>
    <row r="119" spans="2:16">
      <c r="H119" s="58"/>
      <c r="I119" s="58"/>
      <c r="J119" s="58"/>
      <c r="K119" s="58"/>
      <c r="L119" s="58"/>
    </row>
    <row r="120" spans="2:16">
      <c r="H120" s="58"/>
      <c r="I120" s="58"/>
      <c r="J120" s="58"/>
      <c r="K120" s="58"/>
      <c r="L120" s="58"/>
    </row>
    <row r="121" spans="2:16">
      <c r="H121" s="58"/>
      <c r="I121" s="58"/>
      <c r="J121" s="58"/>
      <c r="K121" s="58"/>
      <c r="L121" s="58"/>
    </row>
    <row r="122" spans="2:16">
      <c r="H122" s="58"/>
      <c r="I122" s="58"/>
      <c r="J122" s="58"/>
      <c r="K122" s="58"/>
      <c r="L122" s="58"/>
    </row>
    <row r="123" spans="2:16">
      <c r="H123" s="58"/>
      <c r="I123" s="58"/>
      <c r="J123" s="58"/>
      <c r="K123" s="58"/>
      <c r="L123" s="58"/>
    </row>
    <row r="124" spans="2:16">
      <c r="H124" s="58"/>
      <c r="I124" s="58"/>
      <c r="J124" s="58"/>
      <c r="K124" s="58"/>
      <c r="L124" s="58"/>
    </row>
    <row r="125" spans="2:16">
      <c r="H125" s="58"/>
      <c r="I125" s="58"/>
      <c r="J125" s="58"/>
      <c r="K125" s="58"/>
      <c r="L125" s="58"/>
    </row>
    <row r="126" spans="2:16">
      <c r="H126" s="58"/>
      <c r="I126" s="58"/>
      <c r="J126" s="58"/>
      <c r="K126" s="58"/>
      <c r="L126" s="58"/>
    </row>
    <row r="127" spans="2:16" ht="18">
      <c r="B127" s="43" t="s">
        <v>65</v>
      </c>
      <c r="H127" s="58"/>
      <c r="I127" s="58"/>
      <c r="J127" s="58"/>
      <c r="K127" s="58"/>
      <c r="L127" s="58"/>
    </row>
    <row r="128" spans="2:16">
      <c r="H128" s="58"/>
      <c r="I128" s="58"/>
      <c r="J128" s="58"/>
      <c r="K128" s="58"/>
      <c r="L128" s="58"/>
    </row>
    <row r="129" spans="2:16" ht="15.75">
      <c r="B129" s="7"/>
      <c r="C129" s="44"/>
      <c r="D129" s="44"/>
      <c r="E129" s="44"/>
      <c r="F129" s="44"/>
      <c r="G129" s="44"/>
      <c r="H129" s="44"/>
      <c r="I129" s="44"/>
      <c r="J129" s="44"/>
      <c r="K129" s="45"/>
      <c r="L129" s="7"/>
      <c r="M129" s="44"/>
      <c r="N129" s="44"/>
      <c r="O129" s="44"/>
    </row>
    <row r="130" spans="2:16" ht="15.75">
      <c r="B130" s="46"/>
      <c r="C130" s="47"/>
      <c r="D130" s="47" t="s">
        <v>20</v>
      </c>
      <c r="E130" s="47" t="s">
        <v>21</v>
      </c>
      <c r="F130" s="47" t="s">
        <v>22</v>
      </c>
      <c r="G130" s="47" t="s">
        <v>23</v>
      </c>
      <c r="H130" s="47" t="s">
        <v>24</v>
      </c>
      <c r="I130" s="47" t="s">
        <v>25</v>
      </c>
      <c r="J130" s="47" t="s">
        <v>26</v>
      </c>
      <c r="K130" s="46" t="s">
        <v>21</v>
      </c>
      <c r="L130" s="47" t="s">
        <v>27</v>
      </c>
      <c r="M130" s="47" t="s">
        <v>27</v>
      </c>
      <c r="N130" s="47" t="s">
        <v>27</v>
      </c>
      <c r="O130" s="47" t="s">
        <v>28</v>
      </c>
    </row>
    <row r="131" spans="2:16" ht="15.75">
      <c r="B131" s="46" t="s">
        <v>29</v>
      </c>
      <c r="C131" s="47" t="s">
        <v>30</v>
      </c>
      <c r="D131" s="47" t="s">
        <v>8</v>
      </c>
      <c r="E131" s="47" t="s">
        <v>8</v>
      </c>
      <c r="F131" s="47" t="s">
        <v>8</v>
      </c>
      <c r="G131" s="47"/>
      <c r="H131" s="47" t="s">
        <v>8</v>
      </c>
      <c r="I131" s="47" t="s">
        <v>31</v>
      </c>
      <c r="J131" s="47" t="s">
        <v>32</v>
      </c>
      <c r="K131" s="46" t="s">
        <v>8</v>
      </c>
      <c r="L131" s="47" t="s">
        <v>33</v>
      </c>
      <c r="M131" s="47" t="s">
        <v>34</v>
      </c>
      <c r="N131" s="47" t="s">
        <v>35</v>
      </c>
      <c r="O131" s="47" t="s">
        <v>36</v>
      </c>
    </row>
    <row r="132" spans="2:16" ht="15.75">
      <c r="B132" s="46"/>
      <c r="C132" s="47"/>
      <c r="D132" s="47"/>
      <c r="E132" s="47"/>
      <c r="F132" s="47"/>
      <c r="G132" s="47"/>
      <c r="H132" s="47"/>
      <c r="I132" s="47" t="s">
        <v>8</v>
      </c>
      <c r="J132" s="35" t="s">
        <v>8</v>
      </c>
      <c r="K132" s="46" t="s">
        <v>16</v>
      </c>
      <c r="L132" s="47" t="s">
        <v>37</v>
      </c>
      <c r="M132" s="47"/>
      <c r="N132" s="47"/>
      <c r="O132" s="47"/>
    </row>
    <row r="133" spans="2:16" ht="15.75">
      <c r="B133" s="15"/>
      <c r="C133" s="48"/>
      <c r="D133" s="48"/>
      <c r="E133" s="48"/>
      <c r="F133" s="48"/>
      <c r="G133" s="48"/>
      <c r="H133" s="48"/>
      <c r="I133" s="48"/>
      <c r="J133" s="47" t="s">
        <v>16</v>
      </c>
      <c r="K133" s="48"/>
      <c r="L133" s="48"/>
      <c r="M133" s="48"/>
      <c r="N133" s="48"/>
      <c r="O133" s="48"/>
    </row>
    <row r="134" spans="2:16" ht="19.5" thickBot="1">
      <c r="B134" s="15"/>
      <c r="C134" s="48" t="s">
        <v>45</v>
      </c>
      <c r="D134" s="48"/>
      <c r="E134" s="48"/>
      <c r="F134" s="48"/>
      <c r="G134" s="48"/>
      <c r="H134" s="48"/>
      <c r="I134" s="48"/>
      <c r="J134" s="49"/>
      <c r="K134" s="48"/>
      <c r="L134" s="48"/>
      <c r="M134" s="48"/>
      <c r="N134" s="48"/>
      <c r="O134" s="48"/>
    </row>
    <row r="135" spans="2:16" ht="15.75">
      <c r="B135" s="19" t="s">
        <v>47</v>
      </c>
      <c r="C135" s="47" t="s">
        <v>59</v>
      </c>
      <c r="D135" s="51">
        <v>814.44</v>
      </c>
      <c r="E135" s="68">
        <v>928.16</v>
      </c>
      <c r="F135" s="52">
        <f>E135*J23/100</f>
        <v>210.45395395861206</v>
      </c>
      <c r="G135" s="52">
        <f>E135*L26/100</f>
        <v>15.311637683146206</v>
      </c>
      <c r="H135" s="52">
        <f>SUM(E135:F135:G135)</f>
        <v>1153.9255916417583</v>
      </c>
      <c r="I135" s="52">
        <v>1154</v>
      </c>
      <c r="J135" s="53">
        <f t="shared" ref="J135:J144" si="18">((F135+G135)/H135)*100</f>
        <v>19.565004301581371</v>
      </c>
      <c r="K135" s="53">
        <f t="shared" ref="K135:K144" si="19">100-J135</f>
        <v>80.434995698418632</v>
      </c>
      <c r="L135" s="47">
        <v>1</v>
      </c>
      <c r="M135" s="47">
        <v>9</v>
      </c>
      <c r="N135" s="47">
        <v>1</v>
      </c>
      <c r="O135" s="47">
        <f t="shared" ref="O135:O144" si="20">L135*M135</f>
        <v>9</v>
      </c>
      <c r="P135" s="74">
        <f>D135/I135*100</f>
        <v>70.575389948006944</v>
      </c>
    </row>
    <row r="136" spans="2:16" ht="15.75">
      <c r="B136" s="19" t="s">
        <v>48</v>
      </c>
      <c r="C136" s="47" t="s">
        <v>41</v>
      </c>
      <c r="D136" s="51">
        <v>651.5</v>
      </c>
      <c r="E136" s="66">
        <v>752.41</v>
      </c>
      <c r="F136" s="52">
        <f>E136*J23/100</f>
        <v>170.6038393143416</v>
      </c>
      <c r="G136" s="52">
        <f>E136*L26/100</f>
        <v>12.412331181236032</v>
      </c>
      <c r="H136" s="52">
        <f>SUM(E136:F136:G136)</f>
        <v>935.42617049557759</v>
      </c>
      <c r="I136" s="52">
        <v>936</v>
      </c>
      <c r="J136" s="53">
        <f t="shared" si="18"/>
        <v>19.565004301581368</v>
      </c>
      <c r="K136" s="53">
        <f t="shared" si="19"/>
        <v>80.434995698418632</v>
      </c>
      <c r="L136" s="47">
        <v>1</v>
      </c>
      <c r="M136" s="47">
        <v>9</v>
      </c>
      <c r="N136" s="47">
        <v>1</v>
      </c>
      <c r="O136" s="47">
        <f t="shared" si="20"/>
        <v>9</v>
      </c>
      <c r="P136" s="74">
        <f t="shared" ref="P136:P144" si="21">D136/I136*100</f>
        <v>69.604700854700852</v>
      </c>
    </row>
    <row r="137" spans="2:16" ht="15.75">
      <c r="B137" s="19" t="s">
        <v>49</v>
      </c>
      <c r="C137" s="47" t="s">
        <v>59</v>
      </c>
      <c r="D137" s="51">
        <v>814.44</v>
      </c>
      <c r="E137" s="66">
        <v>909.94</v>
      </c>
      <c r="F137" s="52">
        <f>E137*J23/100</f>
        <v>206.32269314029855</v>
      </c>
      <c r="G137" s="52">
        <f>E137*L26/100</f>
        <v>15.011066619335089</v>
      </c>
      <c r="H137" s="52">
        <f>SUM(E137:F137:G137)</f>
        <v>1131.2737597596335</v>
      </c>
      <c r="I137" s="52">
        <v>1132</v>
      </c>
      <c r="J137" s="53">
        <f t="shared" si="18"/>
        <v>19.565004301581375</v>
      </c>
      <c r="K137" s="53">
        <f t="shared" si="19"/>
        <v>80.434995698418618</v>
      </c>
      <c r="L137" s="47">
        <v>1</v>
      </c>
      <c r="M137" s="47">
        <v>9</v>
      </c>
      <c r="N137" s="47">
        <v>1</v>
      </c>
      <c r="O137" s="47">
        <f t="shared" si="20"/>
        <v>9</v>
      </c>
      <c r="P137" s="74">
        <f t="shared" si="21"/>
        <v>71.946996466431102</v>
      </c>
    </row>
    <row r="138" spans="2:16" ht="15.75">
      <c r="B138" s="19" t="s">
        <v>50</v>
      </c>
      <c r="C138" s="47" t="s">
        <v>41</v>
      </c>
      <c r="D138" s="51">
        <v>651.5</v>
      </c>
      <c r="E138" s="66">
        <v>752.41</v>
      </c>
      <c r="F138" s="52">
        <f>E138*J23/100</f>
        <v>170.6038393143416</v>
      </c>
      <c r="G138" s="52">
        <f>E138*L26/100</f>
        <v>12.412331181236032</v>
      </c>
      <c r="H138" s="52">
        <f>SUM(E138:F138:G138)</f>
        <v>935.42617049557759</v>
      </c>
      <c r="I138" s="52">
        <v>936</v>
      </c>
      <c r="J138" s="53">
        <f t="shared" si="18"/>
        <v>19.565004301581368</v>
      </c>
      <c r="K138" s="53">
        <f t="shared" si="19"/>
        <v>80.434995698418632</v>
      </c>
      <c r="L138" s="47">
        <v>1</v>
      </c>
      <c r="M138" s="47">
        <v>9</v>
      </c>
      <c r="N138" s="47">
        <v>1</v>
      </c>
      <c r="O138" s="47">
        <f t="shared" si="20"/>
        <v>9</v>
      </c>
      <c r="P138" s="74">
        <f t="shared" si="21"/>
        <v>69.604700854700852</v>
      </c>
    </row>
    <row r="139" spans="2:16" ht="15.75">
      <c r="B139" s="19" t="s">
        <v>51</v>
      </c>
      <c r="C139" s="47" t="s">
        <v>59</v>
      </c>
      <c r="D139" s="51">
        <v>814.44</v>
      </c>
      <c r="E139" s="66">
        <v>909.3</v>
      </c>
      <c r="F139" s="52">
        <f>E139*J23/100</f>
        <v>206.17757750233358</v>
      </c>
      <c r="G139" s="52">
        <f>E139*L26/100</f>
        <v>15.000508689541505</v>
      </c>
      <c r="H139" s="52">
        <f>SUM(E139:F139:G139)</f>
        <v>1130.478086191875</v>
      </c>
      <c r="I139" s="52">
        <v>1131</v>
      </c>
      <c r="J139" s="53">
        <f t="shared" si="18"/>
        <v>19.565004301581368</v>
      </c>
      <c r="K139" s="53">
        <f t="shared" si="19"/>
        <v>80.434995698418632</v>
      </c>
      <c r="L139" s="47">
        <v>1</v>
      </c>
      <c r="M139" s="47">
        <v>9</v>
      </c>
      <c r="N139" s="47">
        <v>1</v>
      </c>
      <c r="O139" s="47">
        <f t="shared" si="20"/>
        <v>9</v>
      </c>
      <c r="P139" s="74">
        <f t="shared" si="21"/>
        <v>72.010610079575599</v>
      </c>
    </row>
    <row r="140" spans="2:16" ht="15.75">
      <c r="B140" s="19" t="s">
        <v>52</v>
      </c>
      <c r="C140" s="47" t="s">
        <v>38</v>
      </c>
      <c r="D140" s="51">
        <v>950.46</v>
      </c>
      <c r="E140" s="66">
        <v>1083.69</v>
      </c>
      <c r="F140" s="52">
        <f>E140*J23/100</f>
        <v>245.71932141592865</v>
      </c>
      <c r="G140" s="52">
        <f>E140*L26/100</f>
        <v>17.877379590640309</v>
      </c>
      <c r="H140" s="52">
        <f>SUM(E140:F140:G140)</f>
        <v>1347.2867010065688</v>
      </c>
      <c r="I140" s="52">
        <v>1348</v>
      </c>
      <c r="J140" s="53">
        <f t="shared" si="18"/>
        <v>19.565004301581371</v>
      </c>
      <c r="K140" s="53">
        <f t="shared" si="19"/>
        <v>80.434995698418632</v>
      </c>
      <c r="L140" s="47">
        <v>1</v>
      </c>
      <c r="M140" s="47">
        <v>9</v>
      </c>
      <c r="N140" s="47">
        <v>1</v>
      </c>
      <c r="O140" s="47">
        <f t="shared" si="20"/>
        <v>9</v>
      </c>
      <c r="P140" s="74">
        <f t="shared" si="21"/>
        <v>70.508902077151333</v>
      </c>
    </row>
    <row r="141" spans="2:16" ht="15.75">
      <c r="B141" s="19" t="s">
        <v>53</v>
      </c>
      <c r="C141" s="47" t="s">
        <v>38</v>
      </c>
      <c r="D141" s="51">
        <v>950.46</v>
      </c>
      <c r="E141" s="66">
        <v>1083.69</v>
      </c>
      <c r="F141" s="52">
        <f>E141*J23/100</f>
        <v>245.71932141592865</v>
      </c>
      <c r="G141" s="52">
        <f>E141*L26/100</f>
        <v>17.877379590640309</v>
      </c>
      <c r="H141" s="52">
        <f>SUM(E141:F141:G141)</f>
        <v>1347.2867010065688</v>
      </c>
      <c r="I141" s="52">
        <v>1348</v>
      </c>
      <c r="J141" s="53">
        <f t="shared" si="18"/>
        <v>19.565004301581371</v>
      </c>
      <c r="K141" s="53">
        <f t="shared" si="19"/>
        <v>80.434995698418632</v>
      </c>
      <c r="L141" s="47">
        <v>1</v>
      </c>
      <c r="M141" s="47">
        <v>9</v>
      </c>
      <c r="N141" s="47">
        <v>1</v>
      </c>
      <c r="O141" s="47">
        <f t="shared" si="20"/>
        <v>9</v>
      </c>
      <c r="P141" s="74">
        <f t="shared" si="21"/>
        <v>70.508902077151333</v>
      </c>
    </row>
    <row r="142" spans="2:16" ht="15.75">
      <c r="B142" s="19" t="s">
        <v>54</v>
      </c>
      <c r="C142" s="47" t="s">
        <v>41</v>
      </c>
      <c r="D142" s="51">
        <v>659.92</v>
      </c>
      <c r="E142" s="66">
        <v>761.44</v>
      </c>
      <c r="F142" s="52">
        <f>E142*J23/100</f>
        <v>172.65133026875279</v>
      </c>
      <c r="G142" s="52">
        <f>E142*L26/100</f>
        <v>12.561296971917393</v>
      </c>
      <c r="H142" s="52">
        <f>SUM(E142:F142:G142)</f>
        <v>946.6526272406702</v>
      </c>
      <c r="I142" s="52">
        <v>947</v>
      </c>
      <c r="J142" s="53">
        <f t="shared" si="18"/>
        <v>19.565004301581371</v>
      </c>
      <c r="K142" s="53">
        <f t="shared" si="19"/>
        <v>80.434995698418632</v>
      </c>
      <c r="L142" s="47">
        <v>1</v>
      </c>
      <c r="M142" s="47">
        <v>9</v>
      </c>
      <c r="N142" s="47">
        <v>1</v>
      </c>
      <c r="O142" s="47">
        <f t="shared" si="20"/>
        <v>9</v>
      </c>
      <c r="P142" s="74">
        <f t="shared" si="21"/>
        <v>69.685322069693768</v>
      </c>
    </row>
    <row r="143" spans="2:16" ht="15.75">
      <c r="B143" s="19" t="s">
        <v>55</v>
      </c>
      <c r="C143" s="47" t="s">
        <v>59</v>
      </c>
      <c r="D143" s="51">
        <v>814.44</v>
      </c>
      <c r="E143" s="66">
        <v>928.16</v>
      </c>
      <c r="F143" s="52">
        <f>E143*J23/100</f>
        <v>210.45395395861206</v>
      </c>
      <c r="G143" s="52">
        <f>E143*L26/100</f>
        <v>15.311637683146206</v>
      </c>
      <c r="H143" s="52">
        <f>SUM(E143:F143:G143)</f>
        <v>1153.9255916417583</v>
      </c>
      <c r="I143" s="52">
        <v>1154</v>
      </c>
      <c r="J143" s="53">
        <f t="shared" si="18"/>
        <v>19.565004301581371</v>
      </c>
      <c r="K143" s="53">
        <f t="shared" si="19"/>
        <v>80.434995698418632</v>
      </c>
      <c r="L143" s="47">
        <v>1</v>
      </c>
      <c r="M143" s="47">
        <v>9</v>
      </c>
      <c r="N143" s="47">
        <v>1</v>
      </c>
      <c r="O143" s="47">
        <f t="shared" si="20"/>
        <v>9</v>
      </c>
      <c r="P143" s="74">
        <f t="shared" si="21"/>
        <v>70.575389948006944</v>
      </c>
    </row>
    <row r="144" spans="2:16" ht="16.5" thickBot="1">
      <c r="B144" s="19" t="s">
        <v>56</v>
      </c>
      <c r="C144" s="47" t="s">
        <v>41</v>
      </c>
      <c r="D144" s="51">
        <v>659.92</v>
      </c>
      <c r="E144" s="67">
        <v>761.44</v>
      </c>
      <c r="F144" s="52">
        <f>E144*J23/100</f>
        <v>172.65133026875279</v>
      </c>
      <c r="G144" s="52">
        <f>E144*L26/100</f>
        <v>12.561296971917393</v>
      </c>
      <c r="H144" s="52">
        <f>SUM(E144:F144:G144)</f>
        <v>946.6526272406702</v>
      </c>
      <c r="I144" s="52">
        <v>947</v>
      </c>
      <c r="J144" s="53">
        <f t="shared" si="18"/>
        <v>19.565004301581371</v>
      </c>
      <c r="K144" s="53">
        <f t="shared" si="19"/>
        <v>80.434995698418632</v>
      </c>
      <c r="L144" s="47">
        <v>1</v>
      </c>
      <c r="M144" s="47">
        <v>9</v>
      </c>
      <c r="N144" s="47">
        <v>1</v>
      </c>
      <c r="O144" s="47">
        <f t="shared" si="20"/>
        <v>9</v>
      </c>
      <c r="P144" s="74">
        <f t="shared" si="21"/>
        <v>69.685322069693768</v>
      </c>
    </row>
    <row r="145" spans="2:16" ht="16.5" thickBot="1">
      <c r="B145" s="29"/>
      <c r="C145" s="31"/>
      <c r="D145" s="54">
        <f t="shared" ref="D145:I145" si="22">SUM(D135:D144)</f>
        <v>7781.52</v>
      </c>
      <c r="E145" s="54">
        <f t="shared" si="22"/>
        <v>8870.6400000000012</v>
      </c>
      <c r="F145" s="54">
        <f t="shared" si="22"/>
        <v>2011.3571605579023</v>
      </c>
      <c r="G145" s="54">
        <f t="shared" si="22"/>
        <v>146.33686616275648</v>
      </c>
      <c r="H145" s="54">
        <f t="shared" si="22"/>
        <v>11028.334026720659</v>
      </c>
      <c r="I145" s="54">
        <f t="shared" si="22"/>
        <v>11033</v>
      </c>
      <c r="J145" s="55"/>
      <c r="K145" s="55"/>
      <c r="L145" s="55">
        <f>SUM(L135:L144)</f>
        <v>10</v>
      </c>
      <c r="M145" s="55">
        <v>9</v>
      </c>
      <c r="N145" s="55">
        <v>1</v>
      </c>
      <c r="O145" s="49">
        <f>SUM(O135:O144)</f>
        <v>90</v>
      </c>
    </row>
    <row r="146" spans="2:16" ht="16.5" thickBot="1">
      <c r="B146" s="56" t="s">
        <v>39</v>
      </c>
      <c r="C146" s="18"/>
      <c r="D146" s="14">
        <v>9</v>
      </c>
      <c r="E146" s="14">
        <v>9</v>
      </c>
      <c r="F146" s="14">
        <v>9</v>
      </c>
      <c r="G146" s="14">
        <v>9</v>
      </c>
      <c r="H146" s="57">
        <v>9</v>
      </c>
      <c r="I146" s="57">
        <v>9</v>
      </c>
      <c r="J146" s="58"/>
      <c r="K146" s="58"/>
      <c r="L146" s="58"/>
      <c r="P146" s="75">
        <f>AVERAGE(P135:P145)</f>
        <v>70.470623644511235</v>
      </c>
    </row>
    <row r="147" spans="2:16" ht="16.5" thickBot="1">
      <c r="B147" s="59"/>
      <c r="C147" s="59"/>
      <c r="D147" s="60">
        <f t="shared" ref="D147:I147" si="23">D145*D146</f>
        <v>70033.680000000008</v>
      </c>
      <c r="E147" s="60">
        <f t="shared" si="23"/>
        <v>79835.760000000009</v>
      </c>
      <c r="F147" s="60">
        <f t="shared" si="23"/>
        <v>18102.21444502112</v>
      </c>
      <c r="G147" s="60">
        <f t="shared" si="23"/>
        <v>1317.0317954648083</v>
      </c>
      <c r="H147" s="60">
        <f t="shared" si="23"/>
        <v>99255.006240485935</v>
      </c>
      <c r="I147" s="61">
        <f t="shared" si="23"/>
        <v>99297</v>
      </c>
      <c r="J147" s="58"/>
      <c r="K147" s="58"/>
      <c r="L147" s="58"/>
    </row>
    <row r="148" spans="2:16">
      <c r="H148" s="58"/>
      <c r="I148" s="58"/>
      <c r="J148" s="58"/>
      <c r="K148" s="58"/>
      <c r="L148" s="58"/>
    </row>
    <row r="149" spans="2:16" ht="18">
      <c r="B149" s="43" t="s">
        <v>66</v>
      </c>
      <c r="H149" s="58"/>
      <c r="I149" s="58"/>
      <c r="J149" s="58"/>
      <c r="K149" s="58"/>
      <c r="L149" s="58"/>
    </row>
    <row r="150" spans="2:16">
      <c r="H150" s="58"/>
      <c r="I150" s="58"/>
      <c r="J150" s="58"/>
      <c r="K150" s="58"/>
      <c r="L150" s="58"/>
    </row>
    <row r="151" spans="2:16" ht="15.75">
      <c r="B151" s="7"/>
      <c r="C151" s="44"/>
      <c r="D151" s="44"/>
      <c r="E151" s="44"/>
      <c r="F151" s="44"/>
      <c r="G151" s="44"/>
      <c r="H151" s="44"/>
      <c r="I151" s="44"/>
      <c r="J151" s="44"/>
      <c r="K151" s="45"/>
      <c r="L151" s="7"/>
      <c r="M151" s="44"/>
      <c r="N151" s="44"/>
      <c r="O151" s="44"/>
    </row>
    <row r="152" spans="2:16" ht="15.75">
      <c r="B152" s="46"/>
      <c r="C152" s="47"/>
      <c r="D152" s="47" t="s">
        <v>20</v>
      </c>
      <c r="E152" s="47" t="s">
        <v>21</v>
      </c>
      <c r="F152" s="47" t="s">
        <v>22</v>
      </c>
      <c r="G152" s="47" t="s">
        <v>23</v>
      </c>
      <c r="H152" s="47" t="s">
        <v>24</v>
      </c>
      <c r="I152" s="47" t="s">
        <v>25</v>
      </c>
      <c r="J152" s="47" t="s">
        <v>26</v>
      </c>
      <c r="K152" s="46" t="s">
        <v>21</v>
      </c>
      <c r="L152" s="47" t="s">
        <v>27</v>
      </c>
      <c r="M152" s="47" t="s">
        <v>27</v>
      </c>
      <c r="N152" s="47" t="s">
        <v>27</v>
      </c>
      <c r="O152" s="47" t="s">
        <v>28</v>
      </c>
    </row>
    <row r="153" spans="2:16" ht="15.75">
      <c r="B153" s="46" t="s">
        <v>29</v>
      </c>
      <c r="C153" s="47" t="s">
        <v>30</v>
      </c>
      <c r="D153" s="47" t="s">
        <v>8</v>
      </c>
      <c r="E153" s="47" t="s">
        <v>8</v>
      </c>
      <c r="F153" s="47" t="s">
        <v>8</v>
      </c>
      <c r="G153" s="47"/>
      <c r="H153" s="47" t="s">
        <v>8</v>
      </c>
      <c r="I153" s="47" t="s">
        <v>31</v>
      </c>
      <c r="J153" s="47" t="s">
        <v>32</v>
      </c>
      <c r="K153" s="46" t="s">
        <v>8</v>
      </c>
      <c r="L153" s="47" t="s">
        <v>33</v>
      </c>
      <c r="M153" s="47" t="s">
        <v>34</v>
      </c>
      <c r="N153" s="47" t="s">
        <v>35</v>
      </c>
      <c r="O153" s="47" t="s">
        <v>36</v>
      </c>
    </row>
    <row r="154" spans="2:16" ht="15.75">
      <c r="B154" s="46"/>
      <c r="C154" s="47"/>
      <c r="D154" s="47"/>
      <c r="E154" s="47"/>
      <c r="F154" s="47"/>
      <c r="G154" s="47"/>
      <c r="H154" s="47"/>
      <c r="I154" s="47" t="s">
        <v>8</v>
      </c>
      <c r="J154" s="35" t="s">
        <v>8</v>
      </c>
      <c r="K154" s="46" t="s">
        <v>16</v>
      </c>
      <c r="L154" s="47" t="s">
        <v>37</v>
      </c>
      <c r="M154" s="47"/>
      <c r="N154" s="47"/>
      <c r="O154" s="47"/>
    </row>
    <row r="155" spans="2:16" ht="15.75">
      <c r="B155" s="15"/>
      <c r="C155" s="48"/>
      <c r="D155" s="48"/>
      <c r="E155" s="48"/>
      <c r="F155" s="48"/>
      <c r="G155" s="48"/>
      <c r="H155" s="48"/>
      <c r="I155" s="48"/>
      <c r="J155" s="47" t="s">
        <v>16</v>
      </c>
      <c r="K155" s="48"/>
      <c r="L155" s="48"/>
      <c r="M155" s="48"/>
      <c r="N155" s="48"/>
      <c r="O155" s="48"/>
    </row>
    <row r="156" spans="2:16" ht="19.5" thickBot="1">
      <c r="B156" s="15"/>
      <c r="C156" s="48" t="s">
        <v>46</v>
      </c>
      <c r="D156" s="48"/>
      <c r="E156" s="48"/>
      <c r="F156" s="48"/>
      <c r="G156" s="48"/>
      <c r="H156" s="48"/>
      <c r="I156" s="48"/>
      <c r="J156" s="49"/>
      <c r="K156" s="48"/>
      <c r="L156" s="48"/>
      <c r="M156" s="48"/>
      <c r="N156" s="48"/>
      <c r="O156" s="48"/>
    </row>
    <row r="157" spans="2:16" ht="15.75">
      <c r="B157" s="50"/>
      <c r="C157" s="47"/>
      <c r="D157" s="27"/>
      <c r="E157" s="47"/>
      <c r="F157" s="47"/>
      <c r="G157" s="47"/>
      <c r="H157" s="47"/>
      <c r="I157" s="47"/>
      <c r="J157" s="7"/>
      <c r="K157" s="47"/>
      <c r="L157" s="47"/>
      <c r="M157" s="47"/>
      <c r="N157" s="47"/>
      <c r="O157" s="47"/>
    </row>
    <row r="158" spans="2:16" ht="15.75">
      <c r="B158" s="19" t="s">
        <v>47</v>
      </c>
      <c r="C158" s="47" t="s">
        <v>59</v>
      </c>
      <c r="D158" s="69">
        <v>814.44</v>
      </c>
      <c r="E158" s="66">
        <v>924.91</v>
      </c>
      <c r="F158" s="52">
        <f>E158*J23/100</f>
        <v>209.71703860957149</v>
      </c>
      <c r="G158" s="52">
        <f>E158*L26/100</f>
        <v>15.258023195913156</v>
      </c>
      <c r="H158" s="52">
        <f>SUM(E158:F158:G158)</f>
        <v>1149.8850618054846</v>
      </c>
      <c r="I158" s="52">
        <v>1150</v>
      </c>
      <c r="J158" s="53">
        <f>((F158+G158)/H158)*100</f>
        <v>19.565004301581368</v>
      </c>
      <c r="K158" s="53">
        <f>100-J158</f>
        <v>80.434995698418632</v>
      </c>
      <c r="L158" s="47">
        <v>1</v>
      </c>
      <c r="M158" s="47">
        <v>9</v>
      </c>
      <c r="N158" s="47">
        <v>1</v>
      </c>
      <c r="O158" s="47">
        <f>L158*M158*N158</f>
        <v>9</v>
      </c>
      <c r="P158" s="73">
        <f>D158/I158*100</f>
        <v>70.820869565217393</v>
      </c>
    </row>
    <row r="159" spans="2:16" ht="15.75">
      <c r="B159" s="19" t="s">
        <v>48</v>
      </c>
      <c r="C159" s="47" t="s">
        <v>41</v>
      </c>
      <c r="D159" s="69">
        <v>651.5</v>
      </c>
      <c r="E159" s="66">
        <v>752.91</v>
      </c>
      <c r="F159" s="52">
        <f>E159*J23/100</f>
        <v>170.71721090650172</v>
      </c>
      <c r="G159" s="52">
        <f>E159*L26/100</f>
        <v>12.420579563887269</v>
      </c>
      <c r="H159" s="52">
        <f>SUM(E159:F159:G159)</f>
        <v>936.04779047038892</v>
      </c>
      <c r="I159" s="52">
        <v>936</v>
      </c>
      <c r="J159" s="53">
        <f>((F159+G159)/H159)*100</f>
        <v>19.565004301581371</v>
      </c>
      <c r="K159" s="53">
        <f>100-J159</f>
        <v>80.434995698418632</v>
      </c>
      <c r="L159" s="47">
        <v>1</v>
      </c>
      <c r="M159" s="47">
        <v>9</v>
      </c>
      <c r="N159" s="47">
        <v>1</v>
      </c>
      <c r="O159" s="47">
        <f>L159*M159*N159</f>
        <v>9</v>
      </c>
      <c r="P159" s="73">
        <f>D159/I159*100</f>
        <v>69.604700854700852</v>
      </c>
    </row>
    <row r="160" spans="2:16" ht="15.75">
      <c r="B160" s="19" t="s">
        <v>49</v>
      </c>
      <c r="C160" s="47" t="s">
        <v>41</v>
      </c>
      <c r="D160" s="69">
        <v>663.86</v>
      </c>
      <c r="E160" s="66">
        <v>767.33</v>
      </c>
      <c r="F160" s="52">
        <f>E160*J23/100</f>
        <v>173.98684762439862</v>
      </c>
      <c r="G160" s="52">
        <f>E160*L26/100</f>
        <v>12.658462919548976</v>
      </c>
      <c r="H160" s="52">
        <f>SUM(E160:F160:G160)</f>
        <v>953.97531054394756</v>
      </c>
      <c r="I160" s="52">
        <v>954</v>
      </c>
      <c r="J160" s="53">
        <f>((F160+G160)/H160)*100</f>
        <v>19.565004301581375</v>
      </c>
      <c r="K160" s="53">
        <f>100-J160</f>
        <v>80.434995698418618</v>
      </c>
      <c r="L160" s="47">
        <v>1</v>
      </c>
      <c r="M160" s="47">
        <v>9</v>
      </c>
      <c r="N160" s="47">
        <v>1</v>
      </c>
      <c r="O160" s="47">
        <f>L160*M160*N160</f>
        <v>9</v>
      </c>
      <c r="P160" s="73">
        <f>D160/I160*100</f>
        <v>69.587002096436052</v>
      </c>
    </row>
    <row r="161" spans="2:16" ht="15.75">
      <c r="B161" s="19" t="s">
        <v>50</v>
      </c>
      <c r="C161" s="47" t="s">
        <v>41</v>
      </c>
      <c r="D161" s="69">
        <v>651.5</v>
      </c>
      <c r="E161" s="66">
        <v>757.02</v>
      </c>
      <c r="F161" s="52">
        <f>E161*J23/100</f>
        <v>171.64912539405762</v>
      </c>
      <c r="G161" s="52">
        <f>E161*L26/100</f>
        <v>12.488381269280445</v>
      </c>
      <c r="H161" s="52">
        <f>SUM(E161:F161:G161)</f>
        <v>941.15750666333804</v>
      </c>
      <c r="I161" s="52">
        <v>942</v>
      </c>
      <c r="J161" s="53">
        <f>((F161+G161)/H161)*100</f>
        <v>19.565004301581371</v>
      </c>
      <c r="K161" s="53">
        <f>100-J161</f>
        <v>80.434995698418632</v>
      </c>
      <c r="L161" s="47">
        <v>1</v>
      </c>
      <c r="M161" s="47">
        <v>9</v>
      </c>
      <c r="N161" s="47">
        <v>1</v>
      </c>
      <c r="O161" s="47">
        <f>L161*M161*N161</f>
        <v>9</v>
      </c>
      <c r="P161" s="73">
        <f>D161/I161*100</f>
        <v>69.161358811040344</v>
      </c>
    </row>
    <row r="162" spans="2:16" ht="16.5" thickBot="1">
      <c r="B162" s="19" t="s">
        <v>51</v>
      </c>
      <c r="C162" s="47" t="s">
        <v>38</v>
      </c>
      <c r="D162" s="69">
        <v>948.02</v>
      </c>
      <c r="E162" s="67">
        <v>1078.5</v>
      </c>
      <c r="F162" s="52">
        <f>E162*J23/100</f>
        <v>244.54252428930693</v>
      </c>
      <c r="G162" s="52">
        <f>E162*L26/100</f>
        <v>17.791761378720459</v>
      </c>
      <c r="H162" s="52">
        <f>SUM(E162:F162:G162)</f>
        <v>1340.8342856680274</v>
      </c>
      <c r="I162" s="52">
        <v>1341</v>
      </c>
      <c r="J162" s="53">
        <f>((F162+G162)/H162)*100</f>
        <v>19.565004301581371</v>
      </c>
      <c r="K162" s="53">
        <f>100-J162</f>
        <v>80.434995698418632</v>
      </c>
      <c r="L162" s="47">
        <v>1</v>
      </c>
      <c r="M162" s="47">
        <v>9</v>
      </c>
      <c r="N162" s="47">
        <v>1</v>
      </c>
      <c r="O162" s="47">
        <f>L162*M162*N162</f>
        <v>9</v>
      </c>
      <c r="P162" s="73">
        <f>D162/I162*100</f>
        <v>70.695003728560778</v>
      </c>
    </row>
    <row r="163" spans="2:16" ht="16.5" thickBot="1">
      <c r="B163" s="29"/>
      <c r="C163" s="31"/>
      <c r="D163" s="54">
        <f t="shared" ref="D163:I163" si="24">SUM(D158:D162)</f>
        <v>3729.32</v>
      </c>
      <c r="E163" s="54">
        <f t="shared" si="24"/>
        <v>4280.67</v>
      </c>
      <c r="F163" s="54">
        <f t="shared" si="24"/>
        <v>970.61274682383635</v>
      </c>
      <c r="G163" s="54">
        <f t="shared" si="24"/>
        <v>70.617208327350312</v>
      </c>
      <c r="H163" s="54">
        <f t="shared" si="24"/>
        <v>5321.8999551511861</v>
      </c>
      <c r="I163" s="54">
        <f t="shared" si="24"/>
        <v>5323</v>
      </c>
      <c r="J163" s="55"/>
      <c r="K163" s="55"/>
      <c r="L163" s="55">
        <f>SUM(L158:L161)</f>
        <v>4</v>
      </c>
      <c r="M163" s="55">
        <v>9</v>
      </c>
      <c r="N163" s="55">
        <v>1</v>
      </c>
      <c r="O163" s="49">
        <f>SUM(O158:O162)</f>
        <v>45</v>
      </c>
    </row>
    <row r="164" spans="2:16" ht="15.75">
      <c r="B164" s="56" t="s">
        <v>39</v>
      </c>
      <c r="C164" s="18"/>
      <c r="D164" s="14">
        <v>9</v>
      </c>
      <c r="E164" s="14">
        <v>9</v>
      </c>
      <c r="F164" s="14">
        <v>9</v>
      </c>
      <c r="G164" s="14">
        <v>9</v>
      </c>
      <c r="H164" s="57">
        <v>9</v>
      </c>
      <c r="I164" s="57">
        <v>9</v>
      </c>
      <c r="J164" s="58"/>
      <c r="K164" s="58"/>
      <c r="L164" s="58"/>
      <c r="P164" s="75">
        <f>AVERAGE(P158:P162)</f>
        <v>69.973787011191078</v>
      </c>
    </row>
    <row r="165" spans="2:16" ht="15.75">
      <c r="B165" s="59"/>
      <c r="C165" s="59"/>
      <c r="D165" s="60">
        <f t="shared" ref="D165:I165" si="25">D163*D164</f>
        <v>33563.880000000005</v>
      </c>
      <c r="E165" s="60">
        <f t="shared" si="25"/>
        <v>38526.03</v>
      </c>
      <c r="F165" s="60">
        <f t="shared" si="25"/>
        <v>8735.5147214145272</v>
      </c>
      <c r="G165" s="60">
        <f t="shared" si="25"/>
        <v>635.55487494615284</v>
      </c>
      <c r="H165" s="60">
        <f t="shared" si="25"/>
        <v>47897.099596360677</v>
      </c>
      <c r="I165" s="61">
        <f t="shared" si="25"/>
        <v>47907</v>
      </c>
      <c r="J165" s="58"/>
      <c r="K165" s="58"/>
      <c r="L165" s="58"/>
    </row>
    <row r="166" spans="2:16">
      <c r="H166" s="58"/>
      <c r="I166" s="58"/>
      <c r="J166" s="58"/>
      <c r="K166" s="58"/>
      <c r="L166" s="58"/>
    </row>
    <row r="167" spans="2:16" ht="18">
      <c r="B167" s="43" t="s">
        <v>67</v>
      </c>
      <c r="H167" s="58"/>
      <c r="I167" s="58"/>
      <c r="J167" s="58"/>
      <c r="K167" s="58"/>
      <c r="L167" s="58"/>
    </row>
    <row r="168" spans="2:16">
      <c r="H168" s="58"/>
      <c r="I168" s="58"/>
      <c r="J168" s="58"/>
      <c r="K168" s="58"/>
      <c r="L168" s="58"/>
    </row>
    <row r="169" spans="2:16" ht="15.75">
      <c r="B169" s="7"/>
      <c r="C169" s="44"/>
      <c r="D169" s="44"/>
      <c r="E169" s="44"/>
      <c r="F169" s="44"/>
      <c r="G169" s="44"/>
      <c r="H169" s="44"/>
      <c r="I169" s="44"/>
      <c r="J169" s="44"/>
      <c r="K169" s="45"/>
      <c r="L169" s="7"/>
      <c r="M169" s="44"/>
      <c r="N169" s="44"/>
      <c r="O169" s="44"/>
    </row>
    <row r="170" spans="2:16" ht="15.75">
      <c r="B170" s="46"/>
      <c r="C170" s="47"/>
      <c r="D170" s="47" t="s">
        <v>20</v>
      </c>
      <c r="E170" s="47" t="s">
        <v>21</v>
      </c>
      <c r="F170" s="47" t="s">
        <v>22</v>
      </c>
      <c r="G170" s="47" t="s">
        <v>23</v>
      </c>
      <c r="H170" s="47" t="s">
        <v>24</v>
      </c>
      <c r="I170" s="47" t="s">
        <v>25</v>
      </c>
      <c r="J170" s="47" t="s">
        <v>26</v>
      </c>
      <c r="K170" s="46" t="s">
        <v>21</v>
      </c>
      <c r="L170" s="47" t="s">
        <v>27</v>
      </c>
      <c r="M170" s="47" t="s">
        <v>27</v>
      </c>
      <c r="N170" s="47" t="s">
        <v>27</v>
      </c>
      <c r="O170" s="47" t="s">
        <v>28</v>
      </c>
    </row>
    <row r="171" spans="2:16" ht="15.75">
      <c r="B171" s="46" t="s">
        <v>29</v>
      </c>
      <c r="C171" s="47" t="s">
        <v>30</v>
      </c>
      <c r="D171" s="47" t="s">
        <v>8</v>
      </c>
      <c r="E171" s="47" t="s">
        <v>8</v>
      </c>
      <c r="F171" s="47" t="s">
        <v>8</v>
      </c>
      <c r="G171" s="47"/>
      <c r="H171" s="47" t="s">
        <v>8</v>
      </c>
      <c r="I171" s="47" t="s">
        <v>31</v>
      </c>
      <c r="J171" s="47" t="s">
        <v>32</v>
      </c>
      <c r="K171" s="46" t="s">
        <v>8</v>
      </c>
      <c r="L171" s="47" t="s">
        <v>33</v>
      </c>
      <c r="M171" s="47" t="s">
        <v>34</v>
      </c>
      <c r="N171" s="47" t="s">
        <v>35</v>
      </c>
      <c r="O171" s="47" t="s">
        <v>36</v>
      </c>
    </row>
    <row r="172" spans="2:16" ht="15.75">
      <c r="B172" s="46"/>
      <c r="C172" s="47"/>
      <c r="D172" s="47"/>
      <c r="E172" s="47"/>
      <c r="F172" s="47"/>
      <c r="G172" s="47"/>
      <c r="H172" s="47"/>
      <c r="I172" s="47" t="s">
        <v>8</v>
      </c>
      <c r="J172" s="35" t="s">
        <v>8</v>
      </c>
      <c r="K172" s="46" t="s">
        <v>16</v>
      </c>
      <c r="L172" s="47" t="s">
        <v>37</v>
      </c>
      <c r="M172" s="47"/>
      <c r="N172" s="47"/>
      <c r="O172" s="47"/>
    </row>
    <row r="173" spans="2:16" ht="15.75">
      <c r="B173" s="15"/>
      <c r="C173" s="48"/>
      <c r="D173" s="48"/>
      <c r="E173" s="48"/>
      <c r="F173" s="48"/>
      <c r="G173" s="48"/>
      <c r="H173" s="48"/>
      <c r="I173" s="48"/>
      <c r="J173" s="47" t="s">
        <v>16</v>
      </c>
      <c r="K173" s="48"/>
      <c r="L173" s="48"/>
      <c r="M173" s="48"/>
      <c r="N173" s="48"/>
      <c r="O173" s="48"/>
    </row>
    <row r="174" spans="2:16" ht="18.75">
      <c r="B174" s="15"/>
      <c r="C174" s="48" t="s">
        <v>46</v>
      </c>
      <c r="D174" s="48"/>
      <c r="E174" s="48"/>
      <c r="F174" s="48"/>
      <c r="G174" s="48"/>
      <c r="H174" s="48"/>
      <c r="I174" s="48"/>
      <c r="J174" s="49"/>
      <c r="K174" s="48"/>
      <c r="L174" s="48"/>
      <c r="M174" s="48"/>
      <c r="N174" s="48"/>
      <c r="O174" s="48"/>
    </row>
    <row r="175" spans="2:16" ht="15.75">
      <c r="B175" s="50"/>
      <c r="C175" s="47"/>
      <c r="D175" s="47"/>
      <c r="E175" s="47"/>
      <c r="F175" s="47"/>
      <c r="G175" s="47"/>
      <c r="H175" s="47"/>
      <c r="I175" s="47"/>
      <c r="J175" s="7"/>
      <c r="K175" s="47"/>
      <c r="L175" s="47"/>
      <c r="M175" s="47"/>
      <c r="N175" s="47"/>
      <c r="O175" s="47"/>
    </row>
    <row r="176" spans="2:16" ht="15.75">
      <c r="B176" s="65" t="s">
        <v>47</v>
      </c>
      <c r="C176" s="47" t="s">
        <v>69</v>
      </c>
      <c r="D176" s="70">
        <v>411.24</v>
      </c>
      <c r="E176" s="66">
        <v>484.77</v>
      </c>
      <c r="F176" s="52">
        <f>E176*J23/100</f>
        <v>109.91829346289042</v>
      </c>
      <c r="G176" s="52">
        <f>E176*L26/100</f>
        <v>7.9971369156813319</v>
      </c>
      <c r="H176" s="52">
        <f>SUM(E176:F176:G176)</f>
        <v>602.68543037857182</v>
      </c>
      <c r="I176" s="52">
        <v>603</v>
      </c>
      <c r="J176" s="53">
        <f>((F176+G176)/H176)*100</f>
        <v>19.565004301581368</v>
      </c>
      <c r="K176" s="53">
        <f>100-J176</f>
        <v>80.434995698418632</v>
      </c>
      <c r="L176" s="47">
        <v>1</v>
      </c>
      <c r="M176" s="47">
        <v>9</v>
      </c>
      <c r="N176" s="47">
        <v>1</v>
      </c>
      <c r="O176" s="47">
        <f>L176*M176*N176</f>
        <v>9</v>
      </c>
      <c r="P176" s="74">
        <f>D176/I176*100</f>
        <v>68.199004975124382</v>
      </c>
    </row>
    <row r="177" spans="2:16" ht="15.75">
      <c r="B177" s="65" t="s">
        <v>48</v>
      </c>
      <c r="C177" s="47" t="s">
        <v>69</v>
      </c>
      <c r="D177" s="70">
        <v>411.24</v>
      </c>
      <c r="E177" s="66">
        <v>481.11</v>
      </c>
      <c r="F177" s="52">
        <f>E177*J23/100</f>
        <v>109.0884134082786</v>
      </c>
      <c r="G177" s="52">
        <f>E177*L26/100</f>
        <v>7.9367587546742699</v>
      </c>
      <c r="H177" s="52">
        <f>SUM(E177:F177:G177)</f>
        <v>598.13517216295293</v>
      </c>
      <c r="I177" s="52">
        <v>598</v>
      </c>
      <c r="J177" s="53">
        <f>((F177+G177)/H177)*100</f>
        <v>19.565004301581371</v>
      </c>
      <c r="K177" s="53">
        <f>100-J177</f>
        <v>80.434995698418632</v>
      </c>
      <c r="L177" s="47">
        <v>1</v>
      </c>
      <c r="M177" s="47">
        <v>9</v>
      </c>
      <c r="N177" s="47">
        <v>1</v>
      </c>
      <c r="O177" s="47">
        <f>L177*M177*N177</f>
        <v>9</v>
      </c>
      <c r="P177" s="74">
        <f t="shared" ref="P177:P185" si="26">D177/I177*100</f>
        <v>68.769230769230774</v>
      </c>
    </row>
    <row r="178" spans="2:16" ht="15.75">
      <c r="B178" s="65" t="s">
        <v>49</v>
      </c>
      <c r="C178" s="47" t="s">
        <v>69</v>
      </c>
      <c r="D178" s="70">
        <v>411.24</v>
      </c>
      <c r="E178" s="66">
        <v>481.11</v>
      </c>
      <c r="F178" s="52">
        <f>E178*J23/100</f>
        <v>109.0884134082786</v>
      </c>
      <c r="G178" s="52">
        <f>E178*L26/100</f>
        <v>7.9367587546742699</v>
      </c>
      <c r="H178" s="52">
        <f>SUM(E178:F178:G178)</f>
        <v>598.13517216295293</v>
      </c>
      <c r="I178" s="52">
        <v>598</v>
      </c>
      <c r="J178" s="53">
        <f>((F178+G178)/H178)*100</f>
        <v>19.565004301581371</v>
      </c>
      <c r="K178" s="53">
        <f>100-J178</f>
        <v>80.434995698418632</v>
      </c>
      <c r="L178" s="47">
        <v>1</v>
      </c>
      <c r="M178" s="47">
        <v>9</v>
      </c>
      <c r="N178" s="47">
        <v>1</v>
      </c>
      <c r="O178" s="47">
        <f>L178*M178*N178</f>
        <v>9</v>
      </c>
      <c r="P178" s="74">
        <f t="shared" si="26"/>
        <v>68.769230769230774</v>
      </c>
    </row>
    <row r="179" spans="2:16" ht="15.75">
      <c r="B179" s="65" t="s">
        <v>50</v>
      </c>
      <c r="C179" s="47" t="s">
        <v>69</v>
      </c>
      <c r="D179" s="70">
        <v>411.24</v>
      </c>
      <c r="E179" s="66">
        <v>481.11</v>
      </c>
      <c r="F179" s="52">
        <f>E179*J23/100</f>
        <v>109.0884134082786</v>
      </c>
      <c r="G179" s="52">
        <f>E179*L26/100</f>
        <v>7.9367587546742699</v>
      </c>
      <c r="H179" s="52">
        <f>SUM(E179:F179:G179)</f>
        <v>598.13517216295293</v>
      </c>
      <c r="I179" s="52">
        <v>598</v>
      </c>
      <c r="J179" s="53">
        <f>((F179+G179)/H179)*100</f>
        <v>19.565004301581371</v>
      </c>
      <c r="K179" s="53">
        <f>100-J179</f>
        <v>80.434995698418632</v>
      </c>
      <c r="L179" s="47">
        <v>1</v>
      </c>
      <c r="M179" s="47">
        <v>9</v>
      </c>
      <c r="N179" s="47">
        <v>1</v>
      </c>
      <c r="O179" s="47">
        <f>L179*M179*N179</f>
        <v>9</v>
      </c>
      <c r="P179" s="74">
        <f t="shared" si="26"/>
        <v>68.769230769230774</v>
      </c>
    </row>
    <row r="180" spans="2:16" ht="15.75">
      <c r="B180" s="65" t="s">
        <v>51</v>
      </c>
      <c r="C180" s="47" t="s">
        <v>69</v>
      </c>
      <c r="D180" s="70">
        <v>411.24</v>
      </c>
      <c r="E180" s="66">
        <v>484.77</v>
      </c>
      <c r="F180" s="52">
        <f>E180*J23/100</f>
        <v>109.91829346289042</v>
      </c>
      <c r="G180" s="52">
        <f>E180*L26/100</f>
        <v>7.9971369156813319</v>
      </c>
      <c r="H180" s="52">
        <f>SUM(E180:F180:G180)</f>
        <v>602.68543037857182</v>
      </c>
      <c r="I180" s="52">
        <v>603</v>
      </c>
      <c r="J180" s="53">
        <f t="shared" ref="J180:J185" si="27">((F180+G180)/H180)*100</f>
        <v>19.565004301581368</v>
      </c>
      <c r="K180" s="53">
        <f t="shared" ref="K180:K185" si="28">100-J180</f>
        <v>80.434995698418632</v>
      </c>
      <c r="L180" s="47">
        <v>1</v>
      </c>
      <c r="M180" s="47">
        <v>9</v>
      </c>
      <c r="N180" s="47">
        <v>1</v>
      </c>
      <c r="O180" s="47">
        <f t="shared" ref="O180:O185" si="29">L180*M180*N180</f>
        <v>9</v>
      </c>
      <c r="P180" s="74">
        <f t="shared" si="26"/>
        <v>68.199004975124382</v>
      </c>
    </row>
    <row r="181" spans="2:16" ht="15.75">
      <c r="B181" s="65" t="s">
        <v>52</v>
      </c>
      <c r="C181" s="47" t="s">
        <v>69</v>
      </c>
      <c r="D181" s="70">
        <v>411.24</v>
      </c>
      <c r="E181" s="66">
        <v>484.77</v>
      </c>
      <c r="F181" s="52">
        <f>E181*J23/100</f>
        <v>109.91829346289042</v>
      </c>
      <c r="G181" s="52">
        <f>E181*L26/100</f>
        <v>7.9971369156813319</v>
      </c>
      <c r="H181" s="52">
        <f>SUM(E181:F181:G181)</f>
        <v>602.68543037857182</v>
      </c>
      <c r="I181" s="52">
        <v>603</v>
      </c>
      <c r="J181" s="53">
        <f t="shared" si="27"/>
        <v>19.565004301581368</v>
      </c>
      <c r="K181" s="53">
        <f t="shared" si="28"/>
        <v>80.434995698418632</v>
      </c>
      <c r="L181" s="47">
        <v>1</v>
      </c>
      <c r="M181" s="47">
        <v>9</v>
      </c>
      <c r="N181" s="47">
        <v>1</v>
      </c>
      <c r="O181" s="47">
        <f t="shared" si="29"/>
        <v>9</v>
      </c>
      <c r="P181" s="74">
        <f t="shared" si="26"/>
        <v>68.199004975124382</v>
      </c>
    </row>
    <row r="182" spans="2:16" ht="15.75">
      <c r="B182" s="65" t="s">
        <v>53</v>
      </c>
      <c r="C182" s="47" t="s">
        <v>69</v>
      </c>
      <c r="D182" s="70">
        <v>411.24</v>
      </c>
      <c r="E182" s="66">
        <v>481.11</v>
      </c>
      <c r="F182" s="52">
        <f>E182*J23/100</f>
        <v>109.0884134082786</v>
      </c>
      <c r="G182" s="52">
        <f>E182*L26/100</f>
        <v>7.9367587546742699</v>
      </c>
      <c r="H182" s="52">
        <f>SUM(E182:F182:G182)</f>
        <v>598.13517216295293</v>
      </c>
      <c r="I182" s="52">
        <v>598</v>
      </c>
      <c r="J182" s="53">
        <f t="shared" si="27"/>
        <v>19.565004301581371</v>
      </c>
      <c r="K182" s="53">
        <f t="shared" si="28"/>
        <v>80.434995698418632</v>
      </c>
      <c r="L182" s="47">
        <v>1</v>
      </c>
      <c r="M182" s="47">
        <v>9</v>
      </c>
      <c r="N182" s="47">
        <v>1</v>
      </c>
      <c r="O182" s="47">
        <f t="shared" si="29"/>
        <v>9</v>
      </c>
      <c r="P182" s="74">
        <f t="shared" si="26"/>
        <v>68.769230769230774</v>
      </c>
    </row>
    <row r="183" spans="2:16" ht="15.75">
      <c r="B183" s="65" t="s">
        <v>54</v>
      </c>
      <c r="C183" s="47" t="s">
        <v>69</v>
      </c>
      <c r="D183" s="70">
        <v>411.24</v>
      </c>
      <c r="E183" s="66">
        <v>481.11</v>
      </c>
      <c r="F183" s="52">
        <f>E183*J23/100</f>
        <v>109.0884134082786</v>
      </c>
      <c r="G183" s="52">
        <f>E183*L26/100</f>
        <v>7.9367587546742699</v>
      </c>
      <c r="H183" s="52">
        <f>SUM(E183:F183:G183)</f>
        <v>598.13517216295293</v>
      </c>
      <c r="I183" s="52">
        <v>598</v>
      </c>
      <c r="J183" s="53">
        <f t="shared" si="27"/>
        <v>19.565004301581371</v>
      </c>
      <c r="K183" s="53">
        <f t="shared" si="28"/>
        <v>80.434995698418632</v>
      </c>
      <c r="L183" s="47">
        <v>1</v>
      </c>
      <c r="M183" s="47">
        <v>9</v>
      </c>
      <c r="N183" s="47">
        <v>1</v>
      </c>
      <c r="O183" s="47">
        <f t="shared" si="29"/>
        <v>9</v>
      </c>
      <c r="P183" s="74">
        <f t="shared" si="26"/>
        <v>68.769230769230774</v>
      </c>
    </row>
    <row r="184" spans="2:16" ht="15.75">
      <c r="B184" s="65" t="s">
        <v>55</v>
      </c>
      <c r="C184" s="47" t="s">
        <v>69</v>
      </c>
      <c r="D184" s="70">
        <v>411.24</v>
      </c>
      <c r="E184" s="66">
        <v>481.11</v>
      </c>
      <c r="F184" s="52">
        <f>E184*J23/100</f>
        <v>109.0884134082786</v>
      </c>
      <c r="G184" s="52">
        <f>E184*L26/100</f>
        <v>7.9367587546742699</v>
      </c>
      <c r="H184" s="52">
        <f>SUM(E184:F184:G184)</f>
        <v>598.13517216295293</v>
      </c>
      <c r="I184" s="52">
        <v>598</v>
      </c>
      <c r="J184" s="53">
        <f t="shared" si="27"/>
        <v>19.565004301581371</v>
      </c>
      <c r="K184" s="53">
        <f t="shared" si="28"/>
        <v>80.434995698418632</v>
      </c>
      <c r="L184" s="47">
        <v>1</v>
      </c>
      <c r="M184" s="47">
        <v>9</v>
      </c>
      <c r="N184" s="47">
        <v>1</v>
      </c>
      <c r="O184" s="47">
        <f t="shared" si="29"/>
        <v>9</v>
      </c>
      <c r="P184" s="74">
        <f t="shared" si="26"/>
        <v>68.769230769230774</v>
      </c>
    </row>
    <row r="185" spans="2:16" ht="16.5" thickBot="1">
      <c r="B185" s="65" t="s">
        <v>56</v>
      </c>
      <c r="C185" s="47" t="s">
        <v>69</v>
      </c>
      <c r="D185" s="70">
        <v>411.24</v>
      </c>
      <c r="E185" s="67">
        <v>484.77</v>
      </c>
      <c r="F185" s="52">
        <f>E185*J23/100</f>
        <v>109.91829346289042</v>
      </c>
      <c r="G185" s="52">
        <f>E185*L26/100</f>
        <v>7.9971369156813319</v>
      </c>
      <c r="H185" s="52">
        <f>SUM(E185:F185:G185)</f>
        <v>602.68543037857182</v>
      </c>
      <c r="I185" s="52">
        <v>603</v>
      </c>
      <c r="J185" s="53">
        <f t="shared" si="27"/>
        <v>19.565004301581368</v>
      </c>
      <c r="K185" s="53">
        <f t="shared" si="28"/>
        <v>80.434995698418632</v>
      </c>
      <c r="L185" s="47">
        <v>1</v>
      </c>
      <c r="M185" s="47">
        <v>9</v>
      </c>
      <c r="N185" s="47">
        <v>1</v>
      </c>
      <c r="O185" s="47">
        <f t="shared" si="29"/>
        <v>9</v>
      </c>
      <c r="P185" s="74">
        <f t="shared" si="26"/>
        <v>68.199004975124382</v>
      </c>
    </row>
    <row r="186" spans="2:16" ht="16.5" thickBot="1">
      <c r="B186" s="29"/>
      <c r="C186" s="31"/>
      <c r="D186" s="54">
        <f t="shared" ref="D186:I186" si="30">SUM(D176:D185)</f>
        <v>4112.3999999999987</v>
      </c>
      <c r="E186" s="54">
        <f t="shared" si="30"/>
        <v>4825.74</v>
      </c>
      <c r="F186" s="54">
        <f t="shared" si="30"/>
        <v>1094.2036543012332</v>
      </c>
      <c r="G186" s="54">
        <f t="shared" si="30"/>
        <v>79.60910019077096</v>
      </c>
      <c r="H186" s="54">
        <f t="shared" si="30"/>
        <v>5999.5527544920042</v>
      </c>
      <c r="I186" s="54">
        <f t="shared" si="30"/>
        <v>6000</v>
      </c>
      <c r="J186" s="55"/>
      <c r="K186" s="55"/>
      <c r="L186" s="55">
        <f>SUM(L176:L185)</f>
        <v>10</v>
      </c>
      <c r="M186" s="55">
        <v>9</v>
      </c>
      <c r="N186" s="55">
        <v>1</v>
      </c>
      <c r="O186" s="49">
        <f>SUM(O176:O185)</f>
        <v>90</v>
      </c>
      <c r="P186" s="71"/>
    </row>
    <row r="187" spans="2:16" ht="16.5" thickBot="1">
      <c r="B187" s="56" t="s">
        <v>39</v>
      </c>
      <c r="C187" s="18"/>
      <c r="D187" s="14">
        <v>9</v>
      </c>
      <c r="E187" s="14">
        <v>9</v>
      </c>
      <c r="F187" s="14">
        <v>9</v>
      </c>
      <c r="G187" s="14">
        <v>9</v>
      </c>
      <c r="H187" s="57">
        <v>9</v>
      </c>
      <c r="I187" s="57">
        <v>9</v>
      </c>
      <c r="J187" s="58"/>
      <c r="K187" s="58"/>
      <c r="L187" s="58"/>
      <c r="P187" s="75">
        <f>AVERAGE(P176:P185)</f>
        <v>68.54114045158822</v>
      </c>
    </row>
    <row r="188" spans="2:16" ht="16.5" thickBot="1">
      <c r="B188" s="59"/>
      <c r="C188" s="59"/>
      <c r="D188" s="60">
        <f t="shared" ref="D188:I188" si="31">D186*D187</f>
        <v>37011.599999999991</v>
      </c>
      <c r="E188" s="60">
        <f t="shared" si="31"/>
        <v>43431.659999999996</v>
      </c>
      <c r="F188" s="60">
        <f t="shared" si="31"/>
        <v>9847.8328887110983</v>
      </c>
      <c r="G188" s="60">
        <f t="shared" si="31"/>
        <v>716.48190171693864</v>
      </c>
      <c r="H188" s="60">
        <f t="shared" si="31"/>
        <v>53995.974790428038</v>
      </c>
      <c r="I188" s="61">
        <f t="shared" si="31"/>
        <v>54000</v>
      </c>
      <c r="J188" s="58"/>
      <c r="K188" s="58"/>
      <c r="L188" s="58"/>
      <c r="M188" s="23" t="s">
        <v>42</v>
      </c>
      <c r="O188" s="62">
        <f>O52+O85+O113+O145+O163+O186</f>
        <v>549</v>
      </c>
    </row>
    <row r="190" spans="2:16" ht="22.35" customHeight="1">
      <c r="B190" s="176" t="s">
        <v>43</v>
      </c>
      <c r="C190" s="176"/>
      <c r="D190" s="63">
        <f t="shared" ref="D190:I190" si="32">D54+D87+D115+D147+D165+D188</f>
        <v>369231.38999999996</v>
      </c>
      <c r="E190" s="63">
        <f t="shared" si="32"/>
        <v>424325.61000000004</v>
      </c>
      <c r="F190" s="63">
        <f t="shared" si="32"/>
        <v>96212.939999999988</v>
      </c>
      <c r="G190" s="63">
        <f t="shared" si="32"/>
        <v>7000.0000000000009</v>
      </c>
      <c r="H190" s="63">
        <f t="shared" si="32"/>
        <v>527538.55000000005</v>
      </c>
      <c r="I190" s="64">
        <f t="shared" si="32"/>
        <v>527679</v>
      </c>
    </row>
  </sheetData>
  <mergeCells count="1">
    <mergeCell ref="B190:C190"/>
  </mergeCells>
  <pageMargins left="0.98425196850393704" right="0.74803149606299213" top="0.39370078740157483" bottom="0.19685039370078741" header="0.51181102362204722" footer="0.51181102362204722"/>
  <pageSetup paperSize="8" scale="80" firstPageNumber="0" orientation="landscape" horizontalDpi="4294967293" verticalDpi="300" r:id="rId1"/>
  <headerFooter alignWithMargins="0"/>
  <rowBreaks count="1" manualBreakCount="1">
    <brk id="126" max="14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49"/>
  <sheetViews>
    <sheetView tabSelected="1" view="pageBreakPreview" topLeftCell="B229" zoomScale="70" zoomScaleSheetLayoutView="70" workbookViewId="0">
      <selection activeCell="J242" sqref="J242"/>
    </sheetView>
  </sheetViews>
  <sheetFormatPr defaultColWidth="8.85546875" defaultRowHeight="12.75"/>
  <cols>
    <col min="1" max="1" width="8.85546875" style="122"/>
    <col min="2" max="3" width="12.42578125" style="122" customWidth="1"/>
    <col min="4" max="4" width="18" style="122" customWidth="1"/>
    <col min="5" max="5" width="14.7109375" style="122" customWidth="1"/>
    <col min="6" max="6" width="14" style="122" customWidth="1"/>
    <col min="7" max="7" width="16.28515625" style="122" customWidth="1"/>
    <col min="8" max="8" width="11.85546875" style="122" customWidth="1"/>
    <col min="9" max="9" width="10.7109375" style="122" customWidth="1"/>
    <col min="10" max="10" width="15.85546875" style="122" customWidth="1"/>
    <col min="11" max="11" width="16.85546875" style="122" customWidth="1"/>
    <col min="12" max="12" width="14.28515625" style="122" customWidth="1"/>
    <col min="13" max="13" width="13.5703125" style="175" customWidth="1"/>
    <col min="14" max="14" width="16.85546875" style="122" customWidth="1"/>
    <col min="15" max="15" width="9.28515625" style="122" customWidth="1"/>
    <col min="16" max="16" width="11.85546875" style="122" customWidth="1"/>
    <col min="17" max="16384" width="8.85546875" style="122"/>
  </cols>
  <sheetData>
    <row r="1" spans="1:16" ht="92.25" customHeight="1" thickBot="1">
      <c r="A1" s="177" t="s">
        <v>161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</row>
    <row r="2" spans="1:16" ht="20.25">
      <c r="A2" s="157"/>
      <c r="B2" s="137"/>
      <c r="C2" s="137"/>
      <c r="D2" s="158"/>
      <c r="E2" s="158"/>
      <c r="F2" s="185" t="s">
        <v>151</v>
      </c>
      <c r="G2" s="185"/>
      <c r="H2" s="185"/>
      <c r="I2" s="185"/>
      <c r="J2" s="185"/>
      <c r="K2" s="185"/>
      <c r="L2" s="185"/>
      <c r="M2" s="167"/>
      <c r="N2" s="190" t="s">
        <v>164</v>
      </c>
      <c r="O2" s="191"/>
      <c r="P2" s="192"/>
    </row>
    <row r="3" spans="1:16" ht="14.25" customHeight="1" thickBot="1">
      <c r="A3" s="159"/>
      <c r="B3" s="138"/>
      <c r="C3" s="138"/>
      <c r="D3" s="160"/>
      <c r="E3" s="160"/>
      <c r="F3" s="139"/>
      <c r="G3" s="139"/>
      <c r="H3" s="139"/>
      <c r="I3" s="139"/>
      <c r="J3" s="139"/>
      <c r="K3" s="139"/>
      <c r="L3" s="139"/>
      <c r="M3" s="168"/>
      <c r="N3" s="160"/>
      <c r="O3" s="160"/>
      <c r="P3" s="161"/>
    </row>
    <row r="4" spans="1:16" ht="65.25" customHeight="1">
      <c r="A4" s="193" t="s">
        <v>138</v>
      </c>
      <c r="B4" s="193" t="s">
        <v>139</v>
      </c>
      <c r="C4" s="193" t="s">
        <v>123</v>
      </c>
      <c r="D4" s="195" t="s">
        <v>141</v>
      </c>
      <c r="E4" s="195" t="s">
        <v>140</v>
      </c>
      <c r="F4" s="197" t="s">
        <v>142</v>
      </c>
      <c r="G4" s="203" t="s">
        <v>143</v>
      </c>
      <c r="H4" s="186" t="s">
        <v>144</v>
      </c>
      <c r="I4" s="187"/>
      <c r="J4" s="197" t="s">
        <v>145</v>
      </c>
      <c r="K4" s="197" t="s">
        <v>146</v>
      </c>
      <c r="L4" s="197" t="s">
        <v>147</v>
      </c>
      <c r="M4" s="197" t="s">
        <v>148</v>
      </c>
      <c r="N4" s="199" t="s">
        <v>149</v>
      </c>
      <c r="O4" s="201" t="s">
        <v>150</v>
      </c>
      <c r="P4" s="202"/>
    </row>
    <row r="5" spans="1:16" ht="50.25" customHeight="1">
      <c r="A5" s="194"/>
      <c r="B5" s="194"/>
      <c r="C5" s="194"/>
      <c r="D5" s="196"/>
      <c r="E5" s="196"/>
      <c r="F5" s="198"/>
      <c r="G5" s="204"/>
      <c r="H5" s="188"/>
      <c r="I5" s="189"/>
      <c r="J5" s="198"/>
      <c r="K5" s="198"/>
      <c r="L5" s="198"/>
      <c r="M5" s="198"/>
      <c r="N5" s="200"/>
      <c r="O5" s="112" t="s">
        <v>125</v>
      </c>
      <c r="P5" s="110" t="s">
        <v>126</v>
      </c>
    </row>
    <row r="6" spans="1:16" ht="21.75" customHeight="1">
      <c r="A6" s="123"/>
      <c r="B6" s="123" t="s">
        <v>129</v>
      </c>
      <c r="C6" s="123"/>
      <c r="D6" s="116"/>
      <c r="E6" s="120"/>
      <c r="F6" s="126"/>
      <c r="G6" s="117"/>
      <c r="H6" s="181"/>
      <c r="I6" s="182"/>
      <c r="J6" s="152"/>
      <c r="K6" s="152"/>
      <c r="L6" s="118"/>
      <c r="M6" s="169"/>
      <c r="N6" s="151"/>
      <c r="O6" s="114"/>
      <c r="P6" s="115"/>
    </row>
    <row r="7" spans="1:16" ht="15.95" customHeight="1">
      <c r="A7" s="124">
        <v>1</v>
      </c>
      <c r="B7" s="124"/>
      <c r="C7" s="124">
        <v>1</v>
      </c>
      <c r="D7" s="116" t="s">
        <v>127</v>
      </c>
      <c r="E7" s="120">
        <v>101</v>
      </c>
      <c r="F7" s="126">
        <v>40.49</v>
      </c>
      <c r="G7" s="117">
        <v>0</v>
      </c>
      <c r="H7" s="181">
        <v>0</v>
      </c>
      <c r="I7" s="182"/>
      <c r="J7" s="152">
        <f>K7-(F7+G7+H7)</f>
        <v>4.8299999999999983</v>
      </c>
      <c r="K7" s="162">
        <v>45.32</v>
      </c>
      <c r="L7" s="118">
        <f>M7-K7</f>
        <v>16.738714232627281</v>
      </c>
      <c r="M7" s="169">
        <f>668/10.764</f>
        <v>62.058714232627281</v>
      </c>
      <c r="N7" s="151">
        <f>M7*I248</f>
        <v>21.504183202831701</v>
      </c>
      <c r="O7" s="114">
        <v>0</v>
      </c>
      <c r="P7" s="115"/>
    </row>
    <row r="8" spans="1:16" ht="17.25" customHeight="1">
      <c r="A8" s="124"/>
      <c r="B8" s="124"/>
      <c r="C8" s="124"/>
      <c r="D8" s="116"/>
      <c r="E8" s="120"/>
      <c r="F8" s="126"/>
      <c r="G8" s="117"/>
      <c r="H8" s="181"/>
      <c r="I8" s="182"/>
      <c r="J8" s="152"/>
      <c r="K8" s="152"/>
      <c r="L8" s="118"/>
      <c r="M8" s="169"/>
      <c r="N8" s="151"/>
      <c r="O8" s="114"/>
      <c r="P8" s="115"/>
    </row>
    <row r="9" spans="1:16" ht="15.95" customHeight="1">
      <c r="A9" s="124">
        <v>2</v>
      </c>
      <c r="B9" s="124"/>
      <c r="C9" s="124">
        <v>1</v>
      </c>
      <c r="D9" s="116" t="s">
        <v>127</v>
      </c>
      <c r="E9" s="120">
        <v>102</v>
      </c>
      <c r="F9" s="126">
        <v>38.92</v>
      </c>
      <c r="G9" s="117">
        <v>0</v>
      </c>
      <c r="H9" s="181">
        <v>1.52</v>
      </c>
      <c r="I9" s="182"/>
      <c r="J9" s="152">
        <f>K9-(F9+G9+H9)</f>
        <v>5.7099999999999937</v>
      </c>
      <c r="K9" s="162">
        <v>46.15</v>
      </c>
      <c r="L9" s="118">
        <f>M9-K9</f>
        <v>17.116443701226316</v>
      </c>
      <c r="M9" s="169">
        <f>681/10.764</f>
        <v>63.266443701226315</v>
      </c>
      <c r="N9" s="151">
        <f>M9*I248</f>
        <v>21.922677786120342</v>
      </c>
      <c r="O9" s="114">
        <v>0</v>
      </c>
      <c r="P9" s="111"/>
    </row>
    <row r="10" spans="1:16" ht="15.95" customHeight="1">
      <c r="A10" s="124"/>
      <c r="B10" s="124"/>
      <c r="C10" s="124"/>
      <c r="D10" s="116"/>
      <c r="E10" s="120"/>
      <c r="F10" s="126"/>
      <c r="G10" s="117"/>
      <c r="H10" s="181"/>
      <c r="I10" s="182"/>
      <c r="J10" s="152"/>
      <c r="K10" s="152"/>
      <c r="L10" s="118"/>
      <c r="M10" s="169"/>
      <c r="N10" s="151"/>
      <c r="O10" s="114"/>
      <c r="P10" s="115"/>
    </row>
    <row r="11" spans="1:16" ht="16.5" customHeight="1">
      <c r="A11" s="124">
        <v>3</v>
      </c>
      <c r="B11" s="124"/>
      <c r="C11" s="124">
        <v>1</v>
      </c>
      <c r="D11" s="116" t="s">
        <v>127</v>
      </c>
      <c r="E11" s="120">
        <v>103</v>
      </c>
      <c r="F11" s="126">
        <v>41.72</v>
      </c>
      <c r="G11" s="117">
        <v>2.19</v>
      </c>
      <c r="H11" s="181">
        <v>0</v>
      </c>
      <c r="I11" s="182"/>
      <c r="J11" s="152">
        <f>K11-(F11+G11+H11)</f>
        <v>8.0600000000000023</v>
      </c>
      <c r="K11" s="162">
        <v>51.97</v>
      </c>
      <c r="L11" s="118">
        <f>M11-K11</f>
        <v>18.078309178743964</v>
      </c>
      <c r="M11" s="169">
        <f>754/10.764</f>
        <v>70.048309178743963</v>
      </c>
      <c r="N11" s="151">
        <f>M11*I248</f>
        <v>24.272685830741171</v>
      </c>
      <c r="O11" s="114">
        <v>0</v>
      </c>
      <c r="P11" s="115"/>
    </row>
    <row r="12" spans="1:16" ht="15.95" customHeight="1">
      <c r="A12" s="124" t="s">
        <v>137</v>
      </c>
      <c r="B12" s="124"/>
      <c r="C12" s="124"/>
      <c r="D12" s="116"/>
      <c r="E12" s="120"/>
      <c r="F12" s="126"/>
      <c r="G12" s="117"/>
      <c r="H12" s="181"/>
      <c r="I12" s="182"/>
      <c r="J12" s="152"/>
      <c r="K12" s="152"/>
      <c r="L12" s="118"/>
      <c r="M12" s="169"/>
      <c r="N12" s="151"/>
      <c r="O12" s="114"/>
      <c r="P12" s="115"/>
    </row>
    <row r="13" spans="1:16" ht="15.75" customHeight="1">
      <c r="A13" s="124">
        <v>4</v>
      </c>
      <c r="B13" s="124"/>
      <c r="C13" s="124">
        <v>1</v>
      </c>
      <c r="D13" s="116" t="s">
        <v>127</v>
      </c>
      <c r="E13" s="120">
        <v>104</v>
      </c>
      <c r="F13" s="126">
        <v>38.36</v>
      </c>
      <c r="G13" s="117">
        <v>0</v>
      </c>
      <c r="H13" s="181">
        <v>0</v>
      </c>
      <c r="I13" s="182"/>
      <c r="J13" s="152">
        <f>K13-(F13+G13+H13)</f>
        <v>4.759999999999998</v>
      </c>
      <c r="K13" s="162">
        <v>43.12</v>
      </c>
      <c r="L13" s="118">
        <f>M13-K13</f>
        <v>16.801962095875147</v>
      </c>
      <c r="M13" s="169">
        <f>645/10.764</f>
        <v>59.921962095875145</v>
      </c>
      <c r="N13" s="151">
        <f>M13*I248</f>
        <v>20.763769709321032</v>
      </c>
      <c r="O13" s="114">
        <v>0</v>
      </c>
      <c r="P13" s="115"/>
    </row>
    <row r="14" spans="1:16" ht="15.95" customHeight="1">
      <c r="A14" s="124"/>
      <c r="B14" s="124"/>
      <c r="C14" s="124"/>
      <c r="D14" s="116"/>
      <c r="E14" s="120"/>
      <c r="F14" s="126"/>
      <c r="G14" s="117"/>
      <c r="H14" s="181"/>
      <c r="I14" s="182"/>
      <c r="J14" s="152"/>
      <c r="K14" s="152"/>
      <c r="L14" s="118"/>
      <c r="M14" s="169"/>
      <c r="N14" s="151"/>
      <c r="O14" s="114"/>
      <c r="P14" s="115"/>
    </row>
    <row r="15" spans="1:16" ht="16.5" customHeight="1">
      <c r="A15" s="124">
        <v>5</v>
      </c>
      <c r="B15" s="124"/>
      <c r="C15" s="124">
        <v>1</v>
      </c>
      <c r="D15" s="116" t="s">
        <v>127</v>
      </c>
      <c r="E15" s="120">
        <v>105</v>
      </c>
      <c r="F15" s="126">
        <v>41.4</v>
      </c>
      <c r="G15" s="117">
        <v>0</v>
      </c>
      <c r="H15" s="181">
        <v>2.17</v>
      </c>
      <c r="I15" s="182"/>
      <c r="J15" s="152">
        <f>K15-(F15+G15+H15)</f>
        <v>5</v>
      </c>
      <c r="K15" s="162">
        <v>48.57</v>
      </c>
      <c r="L15" s="118">
        <f>M15-K15</f>
        <v>17.855120772946869</v>
      </c>
      <c r="M15" s="169">
        <f>715/10.764</f>
        <v>66.425120772946869</v>
      </c>
      <c r="N15" s="151">
        <f>M15*I248</f>
        <v>23.017202080875251</v>
      </c>
      <c r="O15" s="114">
        <v>0</v>
      </c>
      <c r="P15" s="115"/>
    </row>
    <row r="16" spans="1:16" ht="18" customHeight="1">
      <c r="A16" s="124"/>
      <c r="B16" s="124"/>
      <c r="C16" s="124"/>
      <c r="D16" s="127"/>
      <c r="E16" s="120"/>
      <c r="F16" s="126"/>
      <c r="G16" s="117"/>
      <c r="H16" s="151"/>
      <c r="I16" s="152"/>
      <c r="J16" s="152"/>
      <c r="K16" s="152"/>
      <c r="L16" s="118"/>
      <c r="M16" s="169"/>
      <c r="N16" s="151"/>
      <c r="O16" s="114"/>
      <c r="P16" s="115"/>
    </row>
    <row r="17" spans="1:16" ht="23.25" customHeight="1">
      <c r="A17" s="124"/>
      <c r="B17" s="123" t="s">
        <v>130</v>
      </c>
      <c r="C17" s="123"/>
      <c r="D17" s="107"/>
      <c r="E17" s="121"/>
      <c r="F17" s="125"/>
      <c r="G17" s="108"/>
      <c r="H17" s="183"/>
      <c r="I17" s="184"/>
      <c r="J17" s="153"/>
      <c r="K17" s="153"/>
      <c r="L17" s="109"/>
      <c r="M17" s="170"/>
      <c r="N17" s="119"/>
      <c r="O17" s="113"/>
      <c r="P17" s="111"/>
    </row>
    <row r="18" spans="1:16" ht="15.95" customHeight="1">
      <c r="A18" s="124">
        <v>6</v>
      </c>
      <c r="B18" s="124"/>
      <c r="C18" s="124">
        <v>1</v>
      </c>
      <c r="D18" s="116" t="s">
        <v>127</v>
      </c>
      <c r="E18" s="120">
        <v>101</v>
      </c>
      <c r="F18" s="126">
        <v>57.56</v>
      </c>
      <c r="G18" s="117">
        <v>0</v>
      </c>
      <c r="H18" s="181">
        <v>0</v>
      </c>
      <c r="I18" s="182"/>
      <c r="J18" s="152">
        <f>K18-(F18+G18+H18)</f>
        <v>6.1699999999999946</v>
      </c>
      <c r="K18" s="162">
        <v>63.73</v>
      </c>
      <c r="L18" s="118">
        <f>M18-K18</f>
        <v>24.062642140468235</v>
      </c>
      <c r="M18" s="169">
        <f>945/10.764</f>
        <v>87.792642140468232</v>
      </c>
      <c r="N18" s="151">
        <f>M18*I248</f>
        <v>30.421337015981972</v>
      </c>
      <c r="O18" s="114">
        <v>0</v>
      </c>
      <c r="P18" s="115">
        <v>0</v>
      </c>
    </row>
    <row r="19" spans="1:16" ht="12" customHeight="1">
      <c r="A19" s="124"/>
      <c r="B19" s="124"/>
      <c r="C19" s="124"/>
      <c r="D19" s="116"/>
      <c r="E19" s="120"/>
      <c r="F19" s="126"/>
      <c r="G19" s="117"/>
      <c r="H19" s="181"/>
      <c r="I19" s="182"/>
      <c r="J19" s="152"/>
      <c r="K19" s="152"/>
      <c r="L19" s="118"/>
      <c r="M19" s="169"/>
      <c r="N19" s="151"/>
      <c r="O19" s="114"/>
      <c r="P19" s="115"/>
    </row>
    <row r="20" spans="1:16" ht="15.95" customHeight="1">
      <c r="A20" s="124">
        <v>7</v>
      </c>
      <c r="B20" s="124"/>
      <c r="C20" s="124">
        <v>1</v>
      </c>
      <c r="D20" s="116" t="s">
        <v>127</v>
      </c>
      <c r="E20" s="120">
        <v>102</v>
      </c>
      <c r="F20" s="126">
        <v>54.43</v>
      </c>
      <c r="G20" s="117">
        <v>7.41</v>
      </c>
      <c r="H20" s="181">
        <v>0</v>
      </c>
      <c r="I20" s="182"/>
      <c r="J20" s="152">
        <f>K20-(F20+G20+H20)</f>
        <v>8.4099999999999966</v>
      </c>
      <c r="K20" s="162">
        <v>70.25</v>
      </c>
      <c r="L20" s="118">
        <f>M20-K20</f>
        <v>25.996748420661476</v>
      </c>
      <c r="M20" s="169">
        <f>1036/10.764</f>
        <v>96.246748420661476</v>
      </c>
      <c r="N20" s="151">
        <f>M20*I248</f>
        <v>33.350799099002465</v>
      </c>
      <c r="O20" s="114">
        <v>0</v>
      </c>
      <c r="P20" s="115"/>
    </row>
    <row r="21" spans="1:16" ht="12" customHeight="1">
      <c r="A21" s="124"/>
      <c r="B21" s="124"/>
      <c r="C21" s="124"/>
      <c r="D21" s="116"/>
      <c r="E21" s="120"/>
      <c r="F21" s="126"/>
      <c r="G21" s="117"/>
      <c r="H21" s="181"/>
      <c r="I21" s="182"/>
      <c r="J21" s="152"/>
      <c r="K21" s="152"/>
      <c r="L21" s="118"/>
      <c r="M21" s="169"/>
      <c r="N21" s="151"/>
      <c r="O21" s="114"/>
      <c r="P21" s="115"/>
    </row>
    <row r="22" spans="1:16" ht="15.95" customHeight="1">
      <c r="A22" s="124">
        <v>8</v>
      </c>
      <c r="B22" s="124"/>
      <c r="C22" s="124">
        <v>1</v>
      </c>
      <c r="D22" s="116" t="s">
        <v>127</v>
      </c>
      <c r="E22" s="120">
        <v>103</v>
      </c>
      <c r="F22" s="126">
        <v>43.53</v>
      </c>
      <c r="G22" s="117">
        <v>2.91</v>
      </c>
      <c r="H22" s="181">
        <v>0</v>
      </c>
      <c r="I22" s="182"/>
      <c r="J22" s="152">
        <f>K22-(F22+G22+H22)</f>
        <v>6.7000000000000028</v>
      </c>
      <c r="K22" s="162">
        <v>53.14</v>
      </c>
      <c r="L22" s="118">
        <f>M22-K22</f>
        <v>19.695377183203277</v>
      </c>
      <c r="M22" s="169">
        <f>784/10.764</f>
        <v>72.835377183203278</v>
      </c>
      <c r="N22" s="151">
        <f>M22*I248</f>
        <v>25.238442561407268</v>
      </c>
      <c r="O22" s="114">
        <v>0</v>
      </c>
      <c r="P22" s="115">
        <v>0</v>
      </c>
    </row>
    <row r="23" spans="1:16" ht="12" customHeight="1">
      <c r="A23" s="124"/>
      <c r="B23" s="124"/>
      <c r="C23" s="124"/>
      <c r="D23" s="116"/>
      <c r="E23" s="120"/>
      <c r="F23" s="126"/>
      <c r="G23" s="117"/>
      <c r="H23" s="181"/>
      <c r="I23" s="182"/>
      <c r="J23" s="152"/>
      <c r="K23" s="152"/>
      <c r="L23" s="118"/>
      <c r="M23" s="169"/>
      <c r="N23" s="151"/>
      <c r="O23" s="114"/>
      <c r="P23" s="115"/>
    </row>
    <row r="24" spans="1:16" ht="15.95" customHeight="1">
      <c r="A24" s="124">
        <v>9</v>
      </c>
      <c r="B24" s="124"/>
      <c r="C24" s="124">
        <v>1</v>
      </c>
      <c r="D24" s="116" t="s">
        <v>124</v>
      </c>
      <c r="E24" s="120">
        <v>104</v>
      </c>
      <c r="F24" s="126">
        <v>68.67</v>
      </c>
      <c r="G24" s="117">
        <v>6.59</v>
      </c>
      <c r="H24" s="181">
        <v>0</v>
      </c>
      <c r="I24" s="182"/>
      <c r="J24" s="152">
        <f>K24-(F24+G24+H24)</f>
        <v>9.3099999999999881</v>
      </c>
      <c r="K24" s="162">
        <v>84.57</v>
      </c>
      <c r="L24" s="118">
        <f>M24-K24</f>
        <v>30.907517651430709</v>
      </c>
      <c r="M24" s="169">
        <f>1243/10.764</f>
        <v>115.4775176514307</v>
      </c>
      <c r="N24" s="151">
        <f>M24*I248</f>
        <v>40.014520540598511</v>
      </c>
      <c r="O24" s="114">
        <v>1</v>
      </c>
      <c r="P24" s="115"/>
    </row>
    <row r="25" spans="1:16" ht="12" customHeight="1">
      <c r="A25" s="124"/>
      <c r="B25" s="124"/>
      <c r="C25" s="124"/>
      <c r="D25" s="116"/>
      <c r="E25" s="120"/>
      <c r="F25" s="126"/>
      <c r="G25" s="117"/>
      <c r="H25" s="181"/>
      <c r="I25" s="182"/>
      <c r="J25" s="152"/>
      <c r="K25" s="152"/>
      <c r="L25" s="118"/>
      <c r="M25" s="169"/>
      <c r="N25" s="151"/>
      <c r="O25" s="114"/>
      <c r="P25" s="115"/>
    </row>
    <row r="26" spans="1:16" ht="15.95" customHeight="1">
      <c r="A26" s="124">
        <v>10</v>
      </c>
      <c r="B26" s="124"/>
      <c r="C26" s="124">
        <v>1</v>
      </c>
      <c r="D26" s="116" t="s">
        <v>127</v>
      </c>
      <c r="E26" s="120">
        <v>105</v>
      </c>
      <c r="F26" s="126">
        <v>53.47</v>
      </c>
      <c r="G26" s="117">
        <v>7.57</v>
      </c>
      <c r="H26" s="181">
        <v>0</v>
      </c>
      <c r="I26" s="182"/>
      <c r="J26" s="152">
        <f>K26-(F26+G26+H26)</f>
        <v>7.7299999999999969</v>
      </c>
      <c r="K26" s="162">
        <v>68.77</v>
      </c>
      <c r="L26" s="118">
        <f>M26-K26</f>
        <v>24.968387216648097</v>
      </c>
      <c r="M26" s="169">
        <f>1009/10.764</f>
        <v>93.738387216648093</v>
      </c>
      <c r="N26" s="151">
        <f>M26*I248</f>
        <v>32.481618041402974</v>
      </c>
      <c r="O26" s="114">
        <v>0</v>
      </c>
      <c r="P26" s="115"/>
    </row>
    <row r="27" spans="1:16" ht="12" customHeight="1">
      <c r="A27" s="124"/>
      <c r="B27" s="124"/>
      <c r="C27" s="124"/>
      <c r="D27" s="116"/>
      <c r="E27" s="120"/>
      <c r="F27" s="126"/>
      <c r="G27" s="117"/>
      <c r="H27" s="181"/>
      <c r="I27" s="182"/>
      <c r="J27" s="152"/>
      <c r="K27" s="152"/>
      <c r="L27" s="118"/>
      <c r="M27" s="169"/>
      <c r="N27" s="151"/>
      <c r="O27" s="114"/>
      <c r="P27" s="115"/>
    </row>
    <row r="28" spans="1:16" ht="15.95" customHeight="1">
      <c r="A28" s="124">
        <v>11</v>
      </c>
      <c r="B28" s="124"/>
      <c r="C28" s="124">
        <v>1</v>
      </c>
      <c r="D28" s="116" t="s">
        <v>127</v>
      </c>
      <c r="E28" s="120">
        <v>106</v>
      </c>
      <c r="F28" s="126">
        <v>60.34</v>
      </c>
      <c r="G28" s="117">
        <v>4.57</v>
      </c>
      <c r="H28" s="181">
        <v>0</v>
      </c>
      <c r="I28" s="182"/>
      <c r="J28" s="152">
        <f>K28-(F28+G28+H28)</f>
        <v>9.3800000000000097</v>
      </c>
      <c r="K28" s="162">
        <v>74.290000000000006</v>
      </c>
      <c r="L28" s="118">
        <f>M28-K28</f>
        <v>27.437982162764769</v>
      </c>
      <c r="M28" s="169">
        <f>1095/10.764</f>
        <v>101.72798216276477</v>
      </c>
      <c r="N28" s="151">
        <f>M28*I248</f>
        <v>35.250120669312444</v>
      </c>
      <c r="O28" s="114">
        <v>0</v>
      </c>
      <c r="P28" s="115"/>
    </row>
    <row r="29" spans="1:16" ht="13.5" customHeight="1">
      <c r="A29" s="124"/>
      <c r="B29" s="124"/>
      <c r="C29" s="124"/>
      <c r="D29" s="116"/>
      <c r="E29" s="120"/>
      <c r="F29" s="126"/>
      <c r="G29" s="117"/>
      <c r="H29" s="181"/>
      <c r="I29" s="182"/>
      <c r="J29" s="152"/>
      <c r="K29" s="152"/>
      <c r="L29" s="118"/>
      <c r="M29" s="169"/>
      <c r="N29" s="151"/>
      <c r="O29" s="114"/>
      <c r="P29" s="115"/>
    </row>
    <row r="30" spans="1:16" ht="15.95" customHeight="1">
      <c r="A30" s="124">
        <v>12</v>
      </c>
      <c r="B30" s="124"/>
      <c r="C30" s="124">
        <v>1</v>
      </c>
      <c r="D30" s="116" t="s">
        <v>124</v>
      </c>
      <c r="E30" s="120">
        <v>108</v>
      </c>
      <c r="F30" s="126">
        <v>76.22</v>
      </c>
      <c r="G30" s="117">
        <v>8.5500000000000007</v>
      </c>
      <c r="H30" s="181">
        <v>0</v>
      </c>
      <c r="I30" s="182"/>
      <c r="J30" s="152">
        <f>K30-(F30+G30+H30)</f>
        <v>9.7800000000000011</v>
      </c>
      <c r="K30" s="162">
        <v>94.55</v>
      </c>
      <c r="L30" s="118">
        <f>M30-K30</f>
        <v>34.955759940542563</v>
      </c>
      <c r="M30" s="169">
        <f>1394/10.764</f>
        <v>129.50575994054256</v>
      </c>
      <c r="N30" s="151">
        <f>M30*I248</f>
        <v>44.875496084951187</v>
      </c>
      <c r="O30" s="114">
        <v>1</v>
      </c>
      <c r="P30" s="115"/>
    </row>
    <row r="31" spans="1:16" ht="12" customHeight="1">
      <c r="A31" s="124"/>
      <c r="B31" s="124"/>
      <c r="C31" s="124"/>
      <c r="D31" s="116"/>
      <c r="E31" s="120"/>
      <c r="F31" s="126"/>
      <c r="G31" s="117"/>
      <c r="H31" s="181"/>
      <c r="I31" s="182"/>
      <c r="J31" s="152"/>
      <c r="K31" s="152"/>
      <c r="L31" s="118"/>
      <c r="M31" s="169"/>
      <c r="N31" s="151"/>
      <c r="O31" s="114"/>
      <c r="P31" s="115"/>
    </row>
    <row r="32" spans="1:16" ht="15.95" customHeight="1">
      <c r="A32" s="124">
        <v>13</v>
      </c>
      <c r="B32" s="124"/>
      <c r="C32" s="124">
        <v>1</v>
      </c>
      <c r="D32" s="116" t="s">
        <v>127</v>
      </c>
      <c r="E32" s="120">
        <v>110</v>
      </c>
      <c r="F32" s="126">
        <v>53.56</v>
      </c>
      <c r="G32" s="117">
        <v>8.7200000000000006</v>
      </c>
      <c r="H32" s="181">
        <v>0</v>
      </c>
      <c r="I32" s="182"/>
      <c r="J32" s="152">
        <f>K32-(F32+G32+H32)</f>
        <v>7.7999999999999972</v>
      </c>
      <c r="K32" s="162">
        <v>70.08</v>
      </c>
      <c r="L32" s="118">
        <f>M32-K32</f>
        <v>25.051921218877752</v>
      </c>
      <c r="M32" s="169">
        <f>1024/10.764</f>
        <v>95.13192121887775</v>
      </c>
      <c r="N32" s="151">
        <f>M32*I248</f>
        <v>32.964496406736025</v>
      </c>
      <c r="O32" s="114">
        <v>0</v>
      </c>
      <c r="P32" s="115"/>
    </row>
    <row r="33" spans="1:16" ht="12" customHeight="1">
      <c r="A33" s="124"/>
      <c r="B33" s="124"/>
      <c r="C33" s="124"/>
      <c r="D33" s="116"/>
      <c r="E33" s="120"/>
      <c r="F33" s="126"/>
      <c r="G33" s="117"/>
      <c r="H33" s="181"/>
      <c r="I33" s="182"/>
      <c r="J33" s="152"/>
      <c r="K33" s="152"/>
      <c r="L33" s="118"/>
      <c r="M33" s="169"/>
      <c r="N33" s="151"/>
      <c r="O33" s="114"/>
      <c r="P33" s="115"/>
    </row>
    <row r="34" spans="1:16" ht="15.95" customHeight="1">
      <c r="A34" s="124">
        <v>14</v>
      </c>
      <c r="B34" s="124"/>
      <c r="C34" s="124">
        <v>1</v>
      </c>
      <c r="D34" s="116" t="s">
        <v>128</v>
      </c>
      <c r="E34" s="120">
        <v>111</v>
      </c>
      <c r="F34" s="126">
        <v>28.45</v>
      </c>
      <c r="G34" s="117">
        <v>0</v>
      </c>
      <c r="H34" s="181">
        <v>0</v>
      </c>
      <c r="I34" s="182"/>
      <c r="J34" s="152">
        <f>K34-(F34+G34+H34)</f>
        <v>6.629999999999999</v>
      </c>
      <c r="K34" s="162">
        <v>35.08</v>
      </c>
      <c r="L34" s="118">
        <f>M34-K34</f>
        <v>10.256306205871425</v>
      </c>
      <c r="M34" s="169">
        <f>488/10.764</f>
        <v>45.336306205871423</v>
      </c>
      <c r="N34" s="151">
        <f>M34*I248</f>
        <v>15.709642818835135</v>
      </c>
      <c r="O34" s="114">
        <v>0</v>
      </c>
      <c r="P34" s="115"/>
    </row>
    <row r="35" spans="1:16" ht="12" customHeight="1">
      <c r="A35" s="124"/>
      <c r="B35" s="124"/>
      <c r="C35" s="124"/>
      <c r="D35" s="116"/>
      <c r="E35" s="120"/>
      <c r="F35" s="126"/>
      <c r="G35" s="117"/>
      <c r="H35" s="181"/>
      <c r="I35" s="182"/>
      <c r="J35" s="152"/>
      <c r="K35" s="152"/>
      <c r="L35" s="118"/>
      <c r="M35" s="169"/>
      <c r="N35" s="151"/>
      <c r="O35" s="114"/>
      <c r="P35" s="115"/>
    </row>
    <row r="36" spans="1:16" ht="15.95" customHeight="1">
      <c r="A36" s="124">
        <v>15</v>
      </c>
      <c r="B36" s="124"/>
      <c r="C36" s="124">
        <v>1</v>
      </c>
      <c r="D36" s="116" t="s">
        <v>127</v>
      </c>
      <c r="E36" s="120">
        <v>112</v>
      </c>
      <c r="F36" s="126">
        <v>55.13</v>
      </c>
      <c r="G36" s="117">
        <v>9.1199999999999992</v>
      </c>
      <c r="H36" s="181">
        <v>0</v>
      </c>
      <c r="I36" s="182"/>
      <c r="J36" s="152">
        <f>K36-(F36+G36+H36)</f>
        <v>7.7199999999999989</v>
      </c>
      <c r="K36" s="162">
        <v>71.97</v>
      </c>
      <c r="L36" s="118">
        <f>M36-K36</f>
        <v>26.599305091044229</v>
      </c>
      <c r="M36" s="169">
        <f>1061/10.764</f>
        <v>98.569305091044228</v>
      </c>
      <c r="N36" s="151">
        <f>M36*I248</f>
        <v>34.15559637455754</v>
      </c>
      <c r="O36" s="114">
        <v>0</v>
      </c>
      <c r="P36" s="115"/>
    </row>
    <row r="37" spans="1:16" ht="12" customHeight="1">
      <c r="A37" s="124"/>
      <c r="B37" s="124"/>
      <c r="C37" s="124"/>
      <c r="D37" s="116"/>
      <c r="E37" s="120"/>
      <c r="F37" s="126"/>
      <c r="G37" s="117"/>
      <c r="H37" s="181"/>
      <c r="I37" s="182"/>
      <c r="J37" s="152"/>
      <c r="K37" s="152"/>
      <c r="L37" s="118"/>
      <c r="M37" s="169"/>
      <c r="N37" s="151"/>
      <c r="O37" s="114"/>
      <c r="P37" s="115"/>
    </row>
    <row r="38" spans="1:16" ht="15.95" customHeight="1">
      <c r="A38" s="124">
        <v>16</v>
      </c>
      <c r="B38" s="124"/>
      <c r="C38" s="124">
        <v>1</v>
      </c>
      <c r="D38" s="116" t="s">
        <v>127</v>
      </c>
      <c r="E38" s="120">
        <v>113</v>
      </c>
      <c r="F38" s="126">
        <v>54.8</v>
      </c>
      <c r="G38" s="117">
        <v>3.87</v>
      </c>
      <c r="H38" s="181">
        <v>3.88</v>
      </c>
      <c r="I38" s="182"/>
      <c r="J38" s="152">
        <f>K38-(F38+G38+H38)</f>
        <v>6.7999999999999972</v>
      </c>
      <c r="K38" s="162">
        <v>69.349999999999994</v>
      </c>
      <c r="L38" s="118">
        <f>M38-K38</f>
        <v>26.525139353400235</v>
      </c>
      <c r="M38" s="169">
        <f>1032/10.764</f>
        <v>95.875139353400229</v>
      </c>
      <c r="N38" s="151">
        <f>M38*I248</f>
        <v>33.222031534913647</v>
      </c>
      <c r="O38" s="114">
        <v>0</v>
      </c>
      <c r="P38" s="115"/>
    </row>
    <row r="39" spans="1:16" ht="12" customHeight="1">
      <c r="A39" s="124"/>
      <c r="B39" s="124"/>
      <c r="C39" s="124"/>
      <c r="D39" s="116"/>
      <c r="E39" s="120"/>
      <c r="F39" s="126"/>
      <c r="G39" s="117"/>
      <c r="H39" s="181"/>
      <c r="I39" s="182"/>
      <c r="J39" s="152"/>
      <c r="K39" s="152"/>
      <c r="L39" s="118"/>
      <c r="M39" s="169"/>
      <c r="N39" s="151"/>
      <c r="O39" s="114"/>
      <c r="P39" s="115"/>
    </row>
    <row r="40" spans="1:16" ht="15.95" customHeight="1">
      <c r="A40" s="124">
        <v>17</v>
      </c>
      <c r="B40" s="124"/>
      <c r="C40" s="124">
        <v>1</v>
      </c>
      <c r="D40" s="116" t="s">
        <v>127</v>
      </c>
      <c r="E40" s="120">
        <v>114</v>
      </c>
      <c r="F40" s="126">
        <v>57.98</v>
      </c>
      <c r="G40" s="117">
        <v>12.02</v>
      </c>
      <c r="H40" s="181">
        <v>0</v>
      </c>
      <c r="I40" s="182"/>
      <c r="J40" s="152">
        <f>K40-(F40+G40+H40)</f>
        <v>7.9300000000000068</v>
      </c>
      <c r="K40" s="162">
        <v>77.930000000000007</v>
      </c>
      <c r="L40" s="118">
        <f>M40-K40</f>
        <v>28.814704570791534</v>
      </c>
      <c r="M40" s="169">
        <f>1149/10.764</f>
        <v>106.74470457079154</v>
      </c>
      <c r="N40" s="151">
        <f>M40*I248</f>
        <v>36.988482784511419</v>
      </c>
      <c r="O40" s="114">
        <v>1</v>
      </c>
      <c r="P40" s="115"/>
    </row>
    <row r="41" spans="1:16" ht="12" customHeight="1">
      <c r="A41" s="124"/>
      <c r="B41" s="124"/>
      <c r="C41" s="124"/>
      <c r="D41" s="116"/>
      <c r="E41" s="120"/>
      <c r="F41" s="126"/>
      <c r="G41" s="117"/>
      <c r="H41" s="181"/>
      <c r="I41" s="182"/>
      <c r="J41" s="152"/>
      <c r="K41" s="152"/>
      <c r="L41" s="118"/>
      <c r="M41" s="169"/>
      <c r="N41" s="151"/>
      <c r="O41" s="114"/>
      <c r="P41" s="115"/>
    </row>
    <row r="42" spans="1:16" ht="15.95" customHeight="1">
      <c r="A42" s="124">
        <v>18</v>
      </c>
      <c r="B42" s="124"/>
      <c r="C42" s="124">
        <v>1</v>
      </c>
      <c r="D42" s="116" t="s">
        <v>127</v>
      </c>
      <c r="E42" s="120">
        <v>115</v>
      </c>
      <c r="F42" s="126">
        <v>58.39</v>
      </c>
      <c r="G42" s="117">
        <v>3.46</v>
      </c>
      <c r="H42" s="181">
        <v>0</v>
      </c>
      <c r="I42" s="182"/>
      <c r="J42" s="152">
        <f>K42-(F42+G42+H42)</f>
        <v>7.3399999999999963</v>
      </c>
      <c r="K42" s="162">
        <v>69.19</v>
      </c>
      <c r="L42" s="118">
        <f>M42-K42</f>
        <v>25.570312151616506</v>
      </c>
      <c r="M42" s="169">
        <f>1020/10.764</f>
        <v>94.760312151616503</v>
      </c>
      <c r="N42" s="151">
        <f>M42*I248</f>
        <v>32.835728842647207</v>
      </c>
      <c r="O42" s="114">
        <v>0</v>
      </c>
      <c r="P42" s="115"/>
    </row>
    <row r="43" spans="1:16" ht="12" customHeight="1">
      <c r="A43" s="124"/>
      <c r="B43" s="124"/>
      <c r="C43" s="124"/>
      <c r="D43" s="116"/>
      <c r="E43" s="120"/>
      <c r="F43" s="126"/>
      <c r="G43" s="117"/>
      <c r="H43" s="181"/>
      <c r="I43" s="182"/>
      <c r="J43" s="152"/>
      <c r="K43" s="152"/>
      <c r="L43" s="118"/>
      <c r="M43" s="169"/>
      <c r="N43" s="151"/>
      <c r="O43" s="114"/>
      <c r="P43" s="115"/>
    </row>
    <row r="44" spans="1:16" ht="15.95" customHeight="1">
      <c r="A44" s="124">
        <v>19</v>
      </c>
      <c r="B44" s="124"/>
      <c r="C44" s="124">
        <v>1</v>
      </c>
      <c r="D44" s="116" t="s">
        <v>127</v>
      </c>
      <c r="E44" s="120">
        <v>116</v>
      </c>
      <c r="F44" s="126">
        <v>53.31</v>
      </c>
      <c r="G44" s="117">
        <v>4.78</v>
      </c>
      <c r="H44" s="181">
        <v>0</v>
      </c>
      <c r="I44" s="182"/>
      <c r="J44" s="152">
        <f>K44-(F44+G44+H44)</f>
        <v>7.1899999999999977</v>
      </c>
      <c r="K44" s="162">
        <v>65.28</v>
      </c>
      <c r="L44" s="118">
        <f>M44-K44</f>
        <v>24.091980676328504</v>
      </c>
      <c r="M44" s="169">
        <f>962/10.764</f>
        <v>89.371980676328505</v>
      </c>
      <c r="N44" s="151">
        <f>M44*I248</f>
        <v>30.968599163359425</v>
      </c>
      <c r="O44" s="114">
        <v>0</v>
      </c>
      <c r="P44" s="115">
        <v>0</v>
      </c>
    </row>
    <row r="45" spans="1:16" ht="12" customHeight="1">
      <c r="A45" s="124"/>
      <c r="B45" s="124"/>
      <c r="C45" s="124"/>
      <c r="D45" s="116"/>
      <c r="E45" s="120"/>
      <c r="F45" s="126"/>
      <c r="G45" s="117"/>
      <c r="H45" s="181"/>
      <c r="I45" s="182"/>
      <c r="J45" s="152"/>
      <c r="K45" s="152"/>
      <c r="L45" s="118"/>
      <c r="M45" s="169"/>
      <c r="N45" s="151"/>
      <c r="O45" s="114"/>
      <c r="P45" s="115"/>
    </row>
    <row r="46" spans="1:16" ht="15.95" customHeight="1">
      <c r="A46" s="124">
        <v>20</v>
      </c>
      <c r="B46" s="124"/>
      <c r="C46" s="124">
        <v>1</v>
      </c>
      <c r="D46" s="116" t="s">
        <v>124</v>
      </c>
      <c r="E46" s="120">
        <v>117</v>
      </c>
      <c r="F46" s="126">
        <v>73.900000000000006</v>
      </c>
      <c r="G46" s="117">
        <v>5.52</v>
      </c>
      <c r="H46" s="181">
        <v>3</v>
      </c>
      <c r="I46" s="182"/>
      <c r="J46" s="152">
        <f>K46-(F46+G46+H46)</f>
        <v>9.7600000000000051</v>
      </c>
      <c r="K46" s="162">
        <v>92.18</v>
      </c>
      <c r="L46" s="118">
        <f>M46-K46</f>
        <v>33.981278335191377</v>
      </c>
      <c r="M46" s="169">
        <f>1358/10.764</f>
        <v>126.16127833519138</v>
      </c>
      <c r="N46" s="151">
        <f>M46*I248</f>
        <v>43.716588008151874</v>
      </c>
      <c r="O46" s="114">
        <v>1</v>
      </c>
      <c r="P46" s="115"/>
    </row>
    <row r="47" spans="1:16" ht="12" customHeight="1">
      <c r="A47" s="124"/>
      <c r="B47" s="124"/>
      <c r="C47" s="124"/>
      <c r="D47" s="116"/>
      <c r="E47" s="120"/>
      <c r="F47" s="126"/>
      <c r="G47" s="117"/>
      <c r="H47" s="181"/>
      <c r="I47" s="182"/>
      <c r="J47" s="152"/>
      <c r="K47" s="152"/>
      <c r="L47" s="118"/>
      <c r="M47" s="169"/>
      <c r="N47" s="151"/>
      <c r="O47" s="114"/>
      <c r="P47" s="115"/>
    </row>
    <row r="48" spans="1:16" ht="15.95" customHeight="1">
      <c r="A48" s="124">
        <v>21</v>
      </c>
      <c r="B48" s="124"/>
      <c r="C48" s="124">
        <v>1</v>
      </c>
      <c r="D48" s="116" t="s">
        <v>124</v>
      </c>
      <c r="E48" s="120">
        <v>118</v>
      </c>
      <c r="F48" s="126">
        <v>72.650000000000006</v>
      </c>
      <c r="G48" s="117">
        <v>5.7</v>
      </c>
      <c r="H48" s="181">
        <v>0</v>
      </c>
      <c r="I48" s="182"/>
      <c r="J48" s="152">
        <f>K48-(F48+G48+H48)</f>
        <v>8.4399999999999977</v>
      </c>
      <c r="K48" s="162">
        <v>86.79</v>
      </c>
      <c r="L48" s="118">
        <f>M48-K48</f>
        <v>32.217803790412489</v>
      </c>
      <c r="M48" s="169">
        <f>1281/10.764</f>
        <v>119.0078037904125</v>
      </c>
      <c r="N48" s="151">
        <f>M48*I248</f>
        <v>41.237812399442234</v>
      </c>
      <c r="O48" s="114">
        <v>1</v>
      </c>
      <c r="P48" s="115"/>
    </row>
    <row r="49" spans="1:16" ht="18" customHeight="1">
      <c r="A49" s="123"/>
      <c r="B49" s="123"/>
      <c r="C49" s="123"/>
      <c r="D49" s="116"/>
      <c r="E49" s="120"/>
      <c r="F49" s="126"/>
      <c r="G49" s="117"/>
      <c r="H49" s="181"/>
      <c r="I49" s="182"/>
      <c r="J49" s="152"/>
      <c r="K49" s="152"/>
      <c r="L49" s="118"/>
      <c r="M49" s="169"/>
      <c r="N49" s="151"/>
      <c r="O49" s="114"/>
      <c r="P49" s="115"/>
    </row>
    <row r="50" spans="1:16" ht="21.75" customHeight="1">
      <c r="A50" s="123"/>
      <c r="B50" s="123" t="s">
        <v>129</v>
      </c>
      <c r="C50" s="123"/>
      <c r="D50" s="116"/>
      <c r="E50" s="120"/>
      <c r="F50" s="126"/>
      <c r="G50" s="117"/>
      <c r="H50" s="181"/>
      <c r="I50" s="182"/>
      <c r="J50" s="152"/>
      <c r="K50" s="152"/>
      <c r="L50" s="118"/>
      <c r="M50" s="169"/>
      <c r="N50" s="151"/>
      <c r="O50" s="114"/>
      <c r="P50" s="115"/>
    </row>
    <row r="51" spans="1:16" ht="15.95" customHeight="1">
      <c r="A51" s="124">
        <v>22</v>
      </c>
      <c r="B51" s="124"/>
      <c r="C51" s="124">
        <v>2</v>
      </c>
      <c r="D51" s="116" t="s">
        <v>127</v>
      </c>
      <c r="E51" s="120">
        <v>201</v>
      </c>
      <c r="F51" s="126">
        <v>40.49</v>
      </c>
      <c r="G51" s="117">
        <v>0</v>
      </c>
      <c r="H51" s="181">
        <v>0</v>
      </c>
      <c r="I51" s="182"/>
      <c r="J51" s="152">
        <f>K51-(F51+G51+H51)</f>
        <v>4.8299999999999983</v>
      </c>
      <c r="K51" s="162">
        <v>45.32</v>
      </c>
      <c r="L51" s="118">
        <f>M51-K51</f>
        <v>16.738714232627281</v>
      </c>
      <c r="M51" s="169">
        <f>668/10.764</f>
        <v>62.058714232627281</v>
      </c>
      <c r="N51" s="151">
        <f>M51*I248</f>
        <v>21.504183202831701</v>
      </c>
      <c r="O51" s="114">
        <v>0</v>
      </c>
      <c r="P51" s="115"/>
    </row>
    <row r="52" spans="1:16" ht="12" customHeight="1">
      <c r="A52" s="124"/>
      <c r="B52" s="124"/>
      <c r="C52" s="124"/>
      <c r="D52" s="116"/>
      <c r="E52" s="120"/>
      <c r="F52" s="126"/>
      <c r="G52" s="117"/>
      <c r="H52" s="181"/>
      <c r="I52" s="182"/>
      <c r="J52" s="152"/>
      <c r="K52" s="152"/>
      <c r="L52" s="118"/>
      <c r="M52" s="169"/>
      <c r="N52" s="151"/>
      <c r="O52" s="114"/>
      <c r="P52" s="115"/>
    </row>
    <row r="53" spans="1:16" ht="15.95" customHeight="1">
      <c r="A53" s="124">
        <v>23</v>
      </c>
      <c r="B53" s="124"/>
      <c r="C53" s="124">
        <v>2</v>
      </c>
      <c r="D53" s="116" t="s">
        <v>127</v>
      </c>
      <c r="E53" s="120">
        <v>202</v>
      </c>
      <c r="F53" s="126">
        <v>38.92</v>
      </c>
      <c r="G53" s="117">
        <v>0</v>
      </c>
      <c r="H53" s="181">
        <v>1.52</v>
      </c>
      <c r="I53" s="182"/>
      <c r="J53" s="152">
        <f>K53-(F53+G53+H53)</f>
        <v>5.7099999999999937</v>
      </c>
      <c r="K53" s="162">
        <v>46.15</v>
      </c>
      <c r="L53" s="118">
        <f>M53-K53</f>
        <v>17.116443701226316</v>
      </c>
      <c r="M53" s="169">
        <f>681/10.764</f>
        <v>63.266443701226315</v>
      </c>
      <c r="N53" s="151">
        <f>M53*I248</f>
        <v>21.922677786120342</v>
      </c>
      <c r="O53" s="114">
        <v>0</v>
      </c>
      <c r="P53" s="111"/>
    </row>
    <row r="54" spans="1:16" ht="15.95" customHeight="1">
      <c r="A54" s="124"/>
      <c r="B54" s="124"/>
      <c r="C54" s="124"/>
      <c r="D54" s="116"/>
      <c r="E54" s="120"/>
      <c r="F54" s="126"/>
      <c r="G54" s="117"/>
      <c r="H54" s="181"/>
      <c r="I54" s="182"/>
      <c r="J54" s="152"/>
      <c r="K54" s="152"/>
      <c r="L54" s="118"/>
      <c r="M54" s="169"/>
      <c r="N54" s="151"/>
      <c r="O54" s="114"/>
      <c r="P54" s="115"/>
    </row>
    <row r="55" spans="1:16" ht="16.5" customHeight="1">
      <c r="A55" s="124">
        <v>24</v>
      </c>
      <c r="B55" s="124"/>
      <c r="C55" s="124">
        <v>2</v>
      </c>
      <c r="D55" s="116" t="s">
        <v>127</v>
      </c>
      <c r="E55" s="120">
        <v>203</v>
      </c>
      <c r="F55" s="126">
        <v>41.72</v>
      </c>
      <c r="G55" s="117">
        <v>2.19</v>
      </c>
      <c r="H55" s="181">
        <v>0</v>
      </c>
      <c r="I55" s="182"/>
      <c r="J55" s="152">
        <f>K55-(F55+G55+H55)</f>
        <v>8.0600000000000023</v>
      </c>
      <c r="K55" s="162">
        <v>51.97</v>
      </c>
      <c r="L55" s="118">
        <f>M55-K55</f>
        <v>18.078309178743964</v>
      </c>
      <c r="M55" s="169">
        <f>754/10.764</f>
        <v>70.048309178743963</v>
      </c>
      <c r="N55" s="151">
        <f>M55*I248</f>
        <v>24.272685830741171</v>
      </c>
      <c r="O55" s="114">
        <v>0</v>
      </c>
      <c r="P55" s="115"/>
    </row>
    <row r="56" spans="1:16" ht="15.95" customHeight="1">
      <c r="A56" s="124"/>
      <c r="B56" s="124"/>
      <c r="C56" s="124"/>
      <c r="D56" s="116"/>
      <c r="E56" s="120"/>
      <c r="F56" s="126"/>
      <c r="G56" s="117"/>
      <c r="H56" s="181"/>
      <c r="I56" s="182"/>
      <c r="J56" s="152"/>
      <c r="K56" s="152"/>
      <c r="L56" s="118"/>
      <c r="M56" s="169"/>
      <c r="N56" s="151"/>
      <c r="O56" s="114"/>
      <c r="P56" s="115"/>
    </row>
    <row r="57" spans="1:16" ht="15.75" customHeight="1">
      <c r="A57" s="124">
        <v>25</v>
      </c>
      <c r="B57" s="124"/>
      <c r="C57" s="124">
        <v>2</v>
      </c>
      <c r="D57" s="116" t="s">
        <v>127</v>
      </c>
      <c r="E57" s="120">
        <v>204</v>
      </c>
      <c r="F57" s="126">
        <v>38.36</v>
      </c>
      <c r="G57" s="117">
        <v>0</v>
      </c>
      <c r="H57" s="181">
        <v>0</v>
      </c>
      <c r="I57" s="182"/>
      <c r="J57" s="152">
        <f>K57-(F57+G57+H57)</f>
        <v>4.759999999999998</v>
      </c>
      <c r="K57" s="162">
        <v>43.12</v>
      </c>
      <c r="L57" s="118">
        <f>M57-K57</f>
        <v>16.801962095875147</v>
      </c>
      <c r="M57" s="169">
        <f>645/10.764</f>
        <v>59.921962095875145</v>
      </c>
      <c r="N57" s="151">
        <f>M57*I248</f>
        <v>20.763769709321032</v>
      </c>
      <c r="O57" s="114">
        <v>0</v>
      </c>
      <c r="P57" s="115"/>
    </row>
    <row r="58" spans="1:16" ht="15.95" customHeight="1">
      <c r="A58" s="124"/>
      <c r="B58" s="124"/>
      <c r="C58" s="124"/>
      <c r="D58" s="116"/>
      <c r="E58" s="120"/>
      <c r="F58" s="126"/>
      <c r="G58" s="117"/>
      <c r="H58" s="181"/>
      <c r="I58" s="182"/>
      <c r="J58" s="152"/>
      <c r="K58" s="152"/>
      <c r="L58" s="118"/>
      <c r="M58" s="169"/>
      <c r="N58" s="151"/>
      <c r="O58" s="114"/>
      <c r="P58" s="115"/>
    </row>
    <row r="59" spans="1:16" ht="18" customHeight="1">
      <c r="A59" s="124">
        <v>26</v>
      </c>
      <c r="B59" s="124"/>
      <c r="C59" s="124">
        <v>2</v>
      </c>
      <c r="D59" s="116" t="s">
        <v>127</v>
      </c>
      <c r="E59" s="120">
        <v>205</v>
      </c>
      <c r="F59" s="126">
        <v>41.4</v>
      </c>
      <c r="G59" s="117">
        <v>0</v>
      </c>
      <c r="H59" s="181">
        <v>2.17</v>
      </c>
      <c r="I59" s="182"/>
      <c r="J59" s="152">
        <f>K59-(F59+G59+H59)</f>
        <v>5</v>
      </c>
      <c r="K59" s="162">
        <v>48.57</v>
      </c>
      <c r="L59" s="118">
        <f>M59-K59</f>
        <v>17.855120772946869</v>
      </c>
      <c r="M59" s="169">
        <f>715/10.764</f>
        <v>66.425120772946869</v>
      </c>
      <c r="N59" s="151">
        <f>M59*I248</f>
        <v>23.017202080875251</v>
      </c>
      <c r="O59" s="114">
        <v>0</v>
      </c>
      <c r="P59" s="115"/>
    </row>
    <row r="60" spans="1:16" ht="15.95" customHeight="1">
      <c r="A60" s="124"/>
      <c r="B60" s="124"/>
      <c r="C60" s="124"/>
      <c r="D60" s="116"/>
      <c r="E60" s="120"/>
      <c r="F60" s="126"/>
      <c r="G60" s="117"/>
      <c r="H60" s="151"/>
      <c r="I60" s="152"/>
      <c r="J60" s="152"/>
      <c r="K60" s="152"/>
      <c r="L60" s="118"/>
      <c r="M60" s="169"/>
      <c r="N60" s="151"/>
      <c r="O60" s="114"/>
      <c r="P60" s="115"/>
    </row>
    <row r="61" spans="1:16" ht="21" customHeight="1">
      <c r="A61" s="123"/>
      <c r="B61" s="123" t="s">
        <v>130</v>
      </c>
      <c r="C61" s="123"/>
      <c r="D61" s="107"/>
      <c r="E61" s="121"/>
      <c r="F61" s="125"/>
      <c r="G61" s="108"/>
      <c r="H61" s="183"/>
      <c r="I61" s="184"/>
      <c r="J61" s="153"/>
      <c r="K61" s="153"/>
      <c r="L61" s="109"/>
      <c r="M61" s="170"/>
      <c r="N61" s="119"/>
      <c r="O61" s="113"/>
      <c r="P61" s="111"/>
    </row>
    <row r="62" spans="1:16" ht="19.5" customHeight="1">
      <c r="A62" s="124">
        <v>27</v>
      </c>
      <c r="B62" s="124"/>
      <c r="C62" s="124">
        <v>2</v>
      </c>
      <c r="D62" s="116" t="s">
        <v>127</v>
      </c>
      <c r="E62" s="120">
        <v>201</v>
      </c>
      <c r="F62" s="126">
        <v>57.56</v>
      </c>
      <c r="G62" s="117">
        <v>0</v>
      </c>
      <c r="H62" s="181">
        <v>0</v>
      </c>
      <c r="I62" s="182"/>
      <c r="J62" s="152">
        <f>K62-(F62+G62+H62)</f>
        <v>6.1699999999999946</v>
      </c>
      <c r="K62" s="162">
        <v>63.73</v>
      </c>
      <c r="L62" s="118">
        <f>M62-K62</f>
        <v>24.062642140468235</v>
      </c>
      <c r="M62" s="169">
        <f>945/10.764</f>
        <v>87.792642140468232</v>
      </c>
      <c r="N62" s="151">
        <f>M62*I248</f>
        <v>30.421337015981972</v>
      </c>
      <c r="O62" s="114">
        <v>0</v>
      </c>
      <c r="P62" s="115">
        <v>0</v>
      </c>
    </row>
    <row r="63" spans="1:16" ht="18.75" customHeight="1">
      <c r="A63" s="124"/>
      <c r="B63" s="124"/>
      <c r="C63" s="124"/>
      <c r="D63" s="116"/>
      <c r="E63" s="120"/>
      <c r="F63" s="126"/>
      <c r="G63" s="117"/>
      <c r="H63" s="181"/>
      <c r="I63" s="182"/>
      <c r="J63" s="152"/>
      <c r="K63" s="152"/>
      <c r="L63" s="118"/>
      <c r="M63" s="169"/>
      <c r="N63" s="151"/>
      <c r="O63" s="114"/>
      <c r="P63" s="115"/>
    </row>
    <row r="64" spans="1:16" ht="15.95" customHeight="1">
      <c r="A64" s="124">
        <v>28</v>
      </c>
      <c r="B64" s="124"/>
      <c r="C64" s="124">
        <v>2</v>
      </c>
      <c r="D64" s="116" t="s">
        <v>127</v>
      </c>
      <c r="E64" s="120">
        <v>202</v>
      </c>
      <c r="F64" s="126">
        <v>54.43</v>
      </c>
      <c r="G64" s="117">
        <v>5.95</v>
      </c>
      <c r="H64" s="181">
        <v>0</v>
      </c>
      <c r="I64" s="182"/>
      <c r="J64" s="152">
        <f>K64-(F64+G64+H64)</f>
        <v>8.2100000000000009</v>
      </c>
      <c r="K64" s="162">
        <v>68.59</v>
      </c>
      <c r="L64" s="118">
        <f>M64-K64</f>
        <v>25.427094017094021</v>
      </c>
      <c r="M64" s="169">
        <f>1012/10.764</f>
        <v>94.017094017094024</v>
      </c>
      <c r="N64" s="151">
        <f>M64*I248</f>
        <v>32.578193714469585</v>
      </c>
      <c r="O64" s="114">
        <v>0</v>
      </c>
      <c r="P64" s="115"/>
    </row>
    <row r="65" spans="1:16" ht="18" customHeight="1">
      <c r="A65" s="124"/>
      <c r="B65" s="124"/>
      <c r="C65" s="124"/>
      <c r="D65" s="116"/>
      <c r="E65" s="120"/>
      <c r="F65" s="126"/>
      <c r="G65" s="117"/>
      <c r="H65" s="181"/>
      <c r="I65" s="182"/>
      <c r="J65" s="152"/>
      <c r="K65" s="152"/>
      <c r="L65" s="118"/>
      <c r="M65" s="169"/>
      <c r="N65" s="151"/>
      <c r="O65" s="114"/>
      <c r="P65" s="115"/>
    </row>
    <row r="66" spans="1:16" ht="15.95" customHeight="1">
      <c r="A66" s="124">
        <v>29</v>
      </c>
      <c r="B66" s="124"/>
      <c r="C66" s="124">
        <v>2</v>
      </c>
      <c r="D66" s="116" t="s">
        <v>127</v>
      </c>
      <c r="E66" s="120">
        <v>203</v>
      </c>
      <c r="F66" s="126">
        <v>43.53</v>
      </c>
      <c r="G66" s="117">
        <v>2.91</v>
      </c>
      <c r="H66" s="181">
        <v>0</v>
      </c>
      <c r="I66" s="182"/>
      <c r="J66" s="152">
        <f>K66-(F66+G66+H66)</f>
        <v>6.7000000000000028</v>
      </c>
      <c r="K66" s="162">
        <v>53.14</v>
      </c>
      <c r="L66" s="118">
        <f>M66-K66</f>
        <v>19.788279450018578</v>
      </c>
      <c r="M66" s="169">
        <f>785/10.764</f>
        <v>72.928279450018579</v>
      </c>
      <c r="N66" s="151">
        <f>M66*I248</f>
        <v>25.270634452429469</v>
      </c>
      <c r="O66" s="114">
        <v>0</v>
      </c>
      <c r="P66" s="115">
        <v>0</v>
      </c>
    </row>
    <row r="67" spans="1:16" ht="15" customHeight="1">
      <c r="A67" s="124"/>
      <c r="B67" s="124"/>
      <c r="C67" s="124"/>
      <c r="D67" s="116"/>
      <c r="E67" s="120"/>
      <c r="F67" s="126"/>
      <c r="G67" s="117"/>
      <c r="H67" s="181"/>
      <c r="I67" s="182"/>
      <c r="J67" s="152"/>
      <c r="K67" s="152"/>
      <c r="L67" s="118"/>
      <c r="M67" s="169"/>
      <c r="N67" s="151"/>
      <c r="O67" s="114"/>
      <c r="P67" s="115"/>
    </row>
    <row r="68" spans="1:16" ht="15.95" customHeight="1">
      <c r="A68" s="124">
        <v>30</v>
      </c>
      <c r="B68" s="124"/>
      <c r="C68" s="124">
        <v>2</v>
      </c>
      <c r="D68" s="116" t="s">
        <v>124</v>
      </c>
      <c r="E68" s="120">
        <v>204</v>
      </c>
      <c r="F68" s="126">
        <v>68.67</v>
      </c>
      <c r="G68" s="117">
        <v>5.76</v>
      </c>
      <c r="H68" s="181">
        <v>0</v>
      </c>
      <c r="I68" s="182"/>
      <c r="J68" s="152">
        <f>K68-(F68+G68+H68)</f>
        <v>9.25</v>
      </c>
      <c r="K68" s="162">
        <v>83.68</v>
      </c>
      <c r="L68" s="118">
        <f>M68-K68</f>
        <v>30.589788182831654</v>
      </c>
      <c r="M68" s="169">
        <f>1230/10.764</f>
        <v>114.26978818283166</v>
      </c>
      <c r="N68" s="151">
        <f>M68*I248</f>
        <v>39.59602595730987</v>
      </c>
      <c r="O68" s="114">
        <v>1</v>
      </c>
      <c r="P68" s="115"/>
    </row>
    <row r="69" spans="1:16" ht="18" customHeight="1">
      <c r="A69" s="124"/>
      <c r="B69" s="124"/>
      <c r="C69" s="124"/>
      <c r="D69" s="116"/>
      <c r="E69" s="120"/>
      <c r="F69" s="126"/>
      <c r="G69" s="117"/>
      <c r="H69" s="181"/>
      <c r="I69" s="182"/>
      <c r="J69" s="152"/>
      <c r="K69" s="152"/>
      <c r="L69" s="118"/>
      <c r="M69" s="169"/>
      <c r="N69" s="151"/>
      <c r="O69" s="114"/>
      <c r="P69" s="115"/>
    </row>
    <row r="70" spans="1:16" ht="15.95" customHeight="1">
      <c r="A70" s="124">
        <v>31</v>
      </c>
      <c r="B70" s="124"/>
      <c r="C70" s="124">
        <v>2</v>
      </c>
      <c r="D70" s="116" t="s">
        <v>127</v>
      </c>
      <c r="E70" s="120">
        <v>205</v>
      </c>
      <c r="F70" s="126">
        <v>53.47</v>
      </c>
      <c r="G70" s="117">
        <v>7.57</v>
      </c>
      <c r="H70" s="181">
        <v>0</v>
      </c>
      <c r="I70" s="182"/>
      <c r="J70" s="152">
        <f>K70-(F70+G70+H70)</f>
        <v>7.8500000000000014</v>
      </c>
      <c r="K70" s="162">
        <v>68.89</v>
      </c>
      <c r="L70" s="118">
        <f>M70-K70</f>
        <v>24.941289483463407</v>
      </c>
      <c r="M70" s="169">
        <f>1010/10.764</f>
        <v>93.831289483463408</v>
      </c>
      <c r="N70" s="151">
        <f>M70*I248</f>
        <v>32.513809932425183</v>
      </c>
      <c r="O70" s="114">
        <v>0</v>
      </c>
      <c r="P70" s="115"/>
    </row>
    <row r="71" spans="1:16" ht="15.75" customHeight="1">
      <c r="A71" s="124"/>
      <c r="B71" s="124"/>
      <c r="C71" s="124"/>
      <c r="D71" s="116"/>
      <c r="E71" s="120"/>
      <c r="F71" s="126"/>
      <c r="G71" s="117"/>
      <c r="H71" s="181"/>
      <c r="I71" s="182"/>
      <c r="J71" s="152"/>
      <c r="K71" s="152"/>
      <c r="L71" s="118"/>
      <c r="M71" s="169"/>
      <c r="N71" s="151"/>
      <c r="O71" s="114"/>
      <c r="P71" s="115"/>
    </row>
    <row r="72" spans="1:16" ht="15.95" customHeight="1">
      <c r="A72" s="124">
        <v>32</v>
      </c>
      <c r="B72" s="124"/>
      <c r="C72" s="124">
        <v>2</v>
      </c>
      <c r="D72" s="116" t="s">
        <v>127</v>
      </c>
      <c r="E72" s="120">
        <v>206</v>
      </c>
      <c r="F72" s="126">
        <v>60.34</v>
      </c>
      <c r="G72" s="117">
        <v>4.57</v>
      </c>
      <c r="H72" s="181">
        <v>0</v>
      </c>
      <c r="I72" s="182"/>
      <c r="J72" s="152">
        <f>K72-(F72+G72+H72)</f>
        <v>9.3800000000000097</v>
      </c>
      <c r="K72" s="162">
        <v>74.290000000000006</v>
      </c>
      <c r="L72" s="118">
        <f>M72-K72</f>
        <v>27.437982162764769</v>
      </c>
      <c r="M72" s="169">
        <f>1095/10.764</f>
        <v>101.72798216276477</v>
      </c>
      <c r="N72" s="151">
        <f>M72*I248</f>
        <v>35.250120669312444</v>
      </c>
      <c r="O72" s="114">
        <v>0</v>
      </c>
      <c r="P72" s="115"/>
    </row>
    <row r="73" spans="1:16" ht="20.25" customHeight="1">
      <c r="A73" s="124"/>
      <c r="B73" s="124"/>
      <c r="C73" s="124"/>
      <c r="D73" s="116"/>
      <c r="E73" s="120"/>
      <c r="F73" s="126"/>
      <c r="G73" s="117"/>
      <c r="H73" s="181"/>
      <c r="I73" s="182"/>
      <c r="J73" s="152"/>
      <c r="K73" s="152"/>
      <c r="L73" s="118"/>
      <c r="M73" s="169"/>
      <c r="N73" s="151"/>
      <c r="O73" s="114"/>
      <c r="P73" s="115"/>
    </row>
    <row r="74" spans="1:16" ht="15.95" customHeight="1">
      <c r="A74" s="124">
        <v>33</v>
      </c>
      <c r="B74" s="124"/>
      <c r="C74" s="124">
        <v>2</v>
      </c>
      <c r="D74" s="116" t="s">
        <v>124</v>
      </c>
      <c r="E74" s="120">
        <v>207</v>
      </c>
      <c r="F74" s="126">
        <v>79.459999999999994</v>
      </c>
      <c r="G74" s="117">
        <v>5.52</v>
      </c>
      <c r="H74" s="181">
        <v>0</v>
      </c>
      <c r="I74" s="182"/>
      <c r="J74" s="152">
        <f>K74-(F74+G74+H74)</f>
        <v>9.1300000000000097</v>
      </c>
      <c r="K74" s="162">
        <v>94.11</v>
      </c>
      <c r="L74" s="118">
        <f>M74-K74</f>
        <v>31.40096246748422</v>
      </c>
      <c r="M74" s="169">
        <f>1351/10.764</f>
        <v>125.51096246748422</v>
      </c>
      <c r="N74" s="151">
        <f>M74*I248</f>
        <v>43.491244770996452</v>
      </c>
      <c r="O74" s="114">
        <v>1</v>
      </c>
      <c r="P74" s="115"/>
    </row>
    <row r="75" spans="1:16" ht="15" customHeight="1">
      <c r="A75" s="124"/>
      <c r="B75" s="124"/>
      <c r="C75" s="124"/>
      <c r="D75" s="116"/>
      <c r="E75" s="120"/>
      <c r="F75" s="126"/>
      <c r="G75" s="117"/>
      <c r="H75" s="181"/>
      <c r="I75" s="182"/>
      <c r="J75" s="152"/>
      <c r="K75" s="152"/>
      <c r="L75" s="118"/>
      <c r="M75" s="169"/>
      <c r="N75" s="151"/>
      <c r="O75" s="114"/>
      <c r="P75" s="115"/>
    </row>
    <row r="76" spans="1:16" ht="15.95" customHeight="1">
      <c r="A76" s="124">
        <v>34</v>
      </c>
      <c r="B76" s="124"/>
      <c r="C76" s="124">
        <v>2</v>
      </c>
      <c r="D76" s="116" t="s">
        <v>124</v>
      </c>
      <c r="E76" s="120">
        <v>208</v>
      </c>
      <c r="F76" s="126">
        <v>76.22</v>
      </c>
      <c r="G76" s="117">
        <v>7.26</v>
      </c>
      <c r="H76" s="181">
        <v>0</v>
      </c>
      <c r="I76" s="182"/>
      <c r="J76" s="152">
        <f>K76-(F76+G76+H76)</f>
        <v>9.6599999999999966</v>
      </c>
      <c r="K76" s="162">
        <v>93.14</v>
      </c>
      <c r="L76" s="118">
        <f>M76-K76</f>
        <v>34.507714604236355</v>
      </c>
      <c r="M76" s="169">
        <f>1374/10.764</f>
        <v>127.64771460423636</v>
      </c>
      <c r="N76" s="151">
        <f>M76*I248</f>
        <v>44.231658264507125</v>
      </c>
      <c r="O76" s="114">
        <v>1</v>
      </c>
      <c r="P76" s="115"/>
    </row>
    <row r="77" spans="1:16" ht="15" customHeight="1">
      <c r="A77" s="124"/>
      <c r="B77" s="124"/>
      <c r="C77" s="124"/>
      <c r="D77" s="116"/>
      <c r="E77" s="120"/>
      <c r="F77" s="126"/>
      <c r="G77" s="117"/>
      <c r="H77" s="181"/>
      <c r="I77" s="182"/>
      <c r="J77" s="152"/>
      <c r="K77" s="152"/>
      <c r="L77" s="118"/>
      <c r="M77" s="169"/>
      <c r="N77" s="151"/>
      <c r="O77" s="114"/>
      <c r="P77" s="115"/>
    </row>
    <row r="78" spans="1:16" ht="15.95" customHeight="1">
      <c r="A78" s="124">
        <v>35</v>
      </c>
      <c r="B78" s="124"/>
      <c r="C78" s="124">
        <v>2</v>
      </c>
      <c r="D78" s="116" t="s">
        <v>124</v>
      </c>
      <c r="E78" s="120">
        <v>209</v>
      </c>
      <c r="F78" s="126">
        <v>77.239999999999995</v>
      </c>
      <c r="G78" s="117">
        <v>5.18</v>
      </c>
      <c r="H78" s="181">
        <v>0</v>
      </c>
      <c r="I78" s="182"/>
      <c r="J78" s="152">
        <f>K78-(F78+G78+H78)</f>
        <v>9.210000000000008</v>
      </c>
      <c r="K78" s="162">
        <v>91.63</v>
      </c>
      <c r="L78" s="118">
        <f>M78-K78</f>
        <v>33.602255667038293</v>
      </c>
      <c r="M78" s="169">
        <f>1348/10.764</f>
        <v>125.23225566703829</v>
      </c>
      <c r="N78" s="151">
        <f>M78*I248</f>
        <v>43.394669097929842</v>
      </c>
      <c r="O78" s="114">
        <v>1</v>
      </c>
      <c r="P78" s="115"/>
    </row>
    <row r="79" spans="1:16" ht="18.75" customHeight="1">
      <c r="A79" s="124"/>
      <c r="B79" s="124"/>
      <c r="C79" s="124"/>
      <c r="D79" s="116"/>
      <c r="E79" s="120"/>
      <c r="F79" s="126"/>
      <c r="G79" s="117"/>
      <c r="H79" s="181"/>
      <c r="I79" s="182"/>
      <c r="J79" s="152"/>
      <c r="K79" s="152"/>
      <c r="L79" s="118"/>
      <c r="M79" s="169"/>
      <c r="N79" s="151"/>
      <c r="O79" s="114"/>
      <c r="P79" s="115"/>
    </row>
    <row r="80" spans="1:16" ht="15.95" customHeight="1">
      <c r="A80" s="124">
        <v>36</v>
      </c>
      <c r="B80" s="124"/>
      <c r="C80" s="124">
        <v>2</v>
      </c>
      <c r="D80" s="116" t="s">
        <v>127</v>
      </c>
      <c r="E80" s="120">
        <v>210</v>
      </c>
      <c r="F80" s="126">
        <v>53.56</v>
      </c>
      <c r="G80" s="117">
        <v>6.87</v>
      </c>
      <c r="H80" s="181">
        <v>0</v>
      </c>
      <c r="I80" s="182"/>
      <c r="J80" s="152">
        <f>K80-(F80+G80+H80)</f>
        <v>7.7500000000000071</v>
      </c>
      <c r="K80" s="162">
        <v>68.180000000000007</v>
      </c>
      <c r="L80" s="118">
        <f>M80-K80</f>
        <v>24.164853214418429</v>
      </c>
      <c r="M80" s="169">
        <f>994/10.764</f>
        <v>92.344853214418436</v>
      </c>
      <c r="N80" s="151">
        <f>M80*I248</f>
        <v>31.998739676069928</v>
      </c>
      <c r="O80" s="114">
        <v>0</v>
      </c>
      <c r="P80" s="115"/>
    </row>
    <row r="81" spans="1:16" ht="18" customHeight="1">
      <c r="A81" s="124"/>
      <c r="B81" s="124"/>
      <c r="C81" s="124"/>
      <c r="D81" s="116"/>
      <c r="E81" s="120"/>
      <c r="F81" s="126"/>
      <c r="G81" s="117"/>
      <c r="H81" s="181"/>
      <c r="I81" s="182"/>
      <c r="J81" s="152"/>
      <c r="K81" s="152"/>
      <c r="L81" s="118"/>
      <c r="M81" s="169"/>
      <c r="N81" s="151"/>
      <c r="O81" s="114"/>
      <c r="P81" s="115"/>
    </row>
    <row r="82" spans="1:16" ht="15.95" customHeight="1">
      <c r="A82" s="124">
        <v>37</v>
      </c>
      <c r="B82" s="124"/>
      <c r="C82" s="124">
        <v>2</v>
      </c>
      <c r="D82" s="116" t="s">
        <v>128</v>
      </c>
      <c r="E82" s="120">
        <v>211</v>
      </c>
      <c r="F82" s="126">
        <v>28.45</v>
      </c>
      <c r="G82" s="117">
        <v>0</v>
      </c>
      <c r="H82" s="181">
        <v>0</v>
      </c>
      <c r="I82" s="182"/>
      <c r="J82" s="152">
        <f>K82-(F82+G82+H82)</f>
        <v>4.5999999999999979</v>
      </c>
      <c r="K82" s="162">
        <v>33.049999999999997</v>
      </c>
      <c r="L82" s="118">
        <f>M82-K82</f>
        <v>12.286306205871426</v>
      </c>
      <c r="M82" s="169">
        <f>488/10.764</f>
        <v>45.336306205871423</v>
      </c>
      <c r="N82" s="151">
        <f>M82*I248</f>
        <v>15.709642818835135</v>
      </c>
      <c r="O82" s="114">
        <v>0</v>
      </c>
      <c r="P82" s="115"/>
    </row>
    <row r="83" spans="1:16" ht="17.25" customHeight="1">
      <c r="A83" s="124"/>
      <c r="B83" s="124"/>
      <c r="C83" s="124"/>
      <c r="D83" s="116"/>
      <c r="E83" s="120"/>
      <c r="F83" s="126"/>
      <c r="G83" s="117"/>
      <c r="H83" s="181"/>
      <c r="I83" s="182"/>
      <c r="J83" s="152"/>
      <c r="K83" s="152"/>
      <c r="L83" s="118"/>
      <c r="M83" s="169"/>
      <c r="N83" s="151"/>
      <c r="O83" s="114"/>
      <c r="P83" s="115"/>
    </row>
    <row r="84" spans="1:16" ht="15.95" customHeight="1">
      <c r="A84" s="124">
        <v>38</v>
      </c>
      <c r="B84" s="124"/>
      <c r="C84" s="124">
        <v>2</v>
      </c>
      <c r="D84" s="116" t="s">
        <v>127</v>
      </c>
      <c r="E84" s="120">
        <v>212</v>
      </c>
      <c r="F84" s="126">
        <v>55.13</v>
      </c>
      <c r="G84" s="117">
        <v>7.08</v>
      </c>
      <c r="H84" s="181">
        <v>0</v>
      </c>
      <c r="I84" s="182"/>
      <c r="J84" s="152">
        <f>K84-(F84+G84+H84)</f>
        <v>7.6999999999999957</v>
      </c>
      <c r="K84" s="162">
        <v>69.91</v>
      </c>
      <c r="L84" s="118">
        <f>M84-K84</f>
        <v>25.872237086584917</v>
      </c>
      <c r="M84" s="169">
        <f>1031/10.764</f>
        <v>95.782237086584914</v>
      </c>
      <c r="N84" s="151">
        <f>M84*I248</f>
        <v>33.189839643891446</v>
      </c>
      <c r="O84" s="114">
        <v>0</v>
      </c>
      <c r="P84" s="115"/>
    </row>
    <row r="85" spans="1:16" ht="13.5" customHeight="1">
      <c r="A85" s="124"/>
      <c r="B85" s="124"/>
      <c r="C85" s="124"/>
      <c r="D85" s="116"/>
      <c r="E85" s="120"/>
      <c r="F85" s="126"/>
      <c r="G85" s="117"/>
      <c r="H85" s="181"/>
      <c r="I85" s="182"/>
      <c r="J85" s="152"/>
      <c r="K85" s="152"/>
      <c r="L85" s="118"/>
      <c r="M85" s="169"/>
      <c r="N85" s="151"/>
      <c r="O85" s="114"/>
      <c r="P85" s="115"/>
    </row>
    <row r="86" spans="1:16" ht="15.95" customHeight="1">
      <c r="A86" s="124">
        <v>39</v>
      </c>
      <c r="B86" s="124"/>
      <c r="C86" s="124">
        <v>2</v>
      </c>
      <c r="D86" s="116" t="s">
        <v>127</v>
      </c>
      <c r="E86" s="120">
        <v>213</v>
      </c>
      <c r="F86" s="126">
        <v>54.8</v>
      </c>
      <c r="G86" s="117">
        <v>3.87</v>
      </c>
      <c r="H86" s="181">
        <v>3.88</v>
      </c>
      <c r="I86" s="182"/>
      <c r="J86" s="152">
        <f>K86-(F86+G86+H86)</f>
        <v>7.210000000000008</v>
      </c>
      <c r="K86" s="162">
        <v>69.760000000000005</v>
      </c>
      <c r="L86" s="118">
        <f>M86-K86</f>
        <v>26.672552954292087</v>
      </c>
      <c r="M86" s="169">
        <f>1038/10.764</f>
        <v>96.432552954292092</v>
      </c>
      <c r="N86" s="151">
        <f>M86*I248</f>
        <v>33.415182881046867</v>
      </c>
      <c r="O86" s="114">
        <v>0</v>
      </c>
      <c r="P86" s="115"/>
    </row>
    <row r="87" spans="1:16" ht="17.25" customHeight="1">
      <c r="A87" s="124"/>
      <c r="B87" s="124"/>
      <c r="C87" s="124"/>
      <c r="D87" s="116"/>
      <c r="E87" s="120"/>
      <c r="F87" s="126"/>
      <c r="G87" s="117"/>
      <c r="H87" s="181"/>
      <c r="I87" s="182"/>
      <c r="J87" s="152"/>
      <c r="K87" s="152"/>
      <c r="L87" s="118"/>
      <c r="M87" s="169"/>
      <c r="N87" s="151"/>
      <c r="O87" s="114"/>
      <c r="P87" s="115"/>
    </row>
    <row r="88" spans="1:16" ht="15.95" customHeight="1">
      <c r="A88" s="124">
        <v>40</v>
      </c>
      <c r="B88" s="124"/>
      <c r="C88" s="124">
        <v>2</v>
      </c>
      <c r="D88" s="116" t="s">
        <v>127</v>
      </c>
      <c r="E88" s="120">
        <v>214</v>
      </c>
      <c r="F88" s="126">
        <v>57.98</v>
      </c>
      <c r="G88" s="117">
        <v>8.83</v>
      </c>
      <c r="H88" s="181">
        <v>0</v>
      </c>
      <c r="I88" s="182"/>
      <c r="J88" s="152">
        <f>K88-(F88+G88+H88)</f>
        <v>7.3900000000000006</v>
      </c>
      <c r="K88" s="162">
        <v>74.2</v>
      </c>
      <c r="L88" s="118">
        <f>M88-K88</f>
        <v>27.806688963210703</v>
      </c>
      <c r="M88" s="169">
        <f>1098/10.764</f>
        <v>102.00668896321071</v>
      </c>
      <c r="N88" s="151">
        <f>M88*I248</f>
        <v>35.346696342379055</v>
      </c>
      <c r="O88" s="114">
        <v>0</v>
      </c>
      <c r="P88" s="115"/>
    </row>
    <row r="89" spans="1:16" ht="18" customHeight="1">
      <c r="A89" s="124"/>
      <c r="B89" s="124"/>
      <c r="C89" s="124"/>
      <c r="D89" s="116"/>
      <c r="E89" s="120"/>
      <c r="F89" s="126"/>
      <c r="G89" s="117"/>
      <c r="H89" s="181"/>
      <c r="I89" s="182"/>
      <c r="J89" s="152"/>
      <c r="K89" s="152"/>
      <c r="L89" s="118"/>
      <c r="M89" s="169"/>
      <c r="N89" s="151"/>
      <c r="O89" s="114"/>
      <c r="P89" s="115"/>
    </row>
    <row r="90" spans="1:16" ht="15.95" customHeight="1">
      <c r="A90" s="124">
        <v>41</v>
      </c>
      <c r="B90" s="124"/>
      <c r="C90" s="124">
        <v>2</v>
      </c>
      <c r="D90" s="116" t="s">
        <v>127</v>
      </c>
      <c r="E90" s="120">
        <v>215</v>
      </c>
      <c r="F90" s="126">
        <v>58.39</v>
      </c>
      <c r="G90" s="117">
        <v>3.46</v>
      </c>
      <c r="H90" s="181">
        <v>0</v>
      </c>
      <c r="I90" s="182"/>
      <c r="J90" s="152">
        <f>K90-(F90+G90+H90)</f>
        <v>7.3399999999999963</v>
      </c>
      <c r="K90" s="162">
        <v>69.19</v>
      </c>
      <c r="L90" s="118">
        <f>M90-K90</f>
        <v>25.570312151616506</v>
      </c>
      <c r="M90" s="169">
        <f>1020/10.764</f>
        <v>94.760312151616503</v>
      </c>
      <c r="N90" s="151">
        <f>M90*I248</f>
        <v>32.835728842647207</v>
      </c>
      <c r="O90" s="114">
        <v>0</v>
      </c>
      <c r="P90" s="115"/>
    </row>
    <row r="91" spans="1:16" ht="16.5" customHeight="1">
      <c r="A91" s="124"/>
      <c r="B91" s="124"/>
      <c r="C91" s="124"/>
      <c r="D91" s="116"/>
      <c r="E91" s="120"/>
      <c r="F91" s="126"/>
      <c r="G91" s="117"/>
      <c r="H91" s="181"/>
      <c r="I91" s="182"/>
      <c r="J91" s="152"/>
      <c r="K91" s="152"/>
      <c r="L91" s="118"/>
      <c r="M91" s="169"/>
      <c r="N91" s="151"/>
      <c r="O91" s="114"/>
      <c r="P91" s="115"/>
    </row>
    <row r="92" spans="1:16" ht="15.95" customHeight="1">
      <c r="A92" s="124">
        <v>42</v>
      </c>
      <c r="B92" s="124"/>
      <c r="C92" s="124">
        <v>2</v>
      </c>
      <c r="D92" s="116" t="s">
        <v>127</v>
      </c>
      <c r="E92" s="120">
        <v>216</v>
      </c>
      <c r="F92" s="126">
        <v>53.31</v>
      </c>
      <c r="G92" s="117">
        <v>4.78</v>
      </c>
      <c r="H92" s="181">
        <v>0</v>
      </c>
      <c r="I92" s="182"/>
      <c r="J92" s="152">
        <f>K92-(F92+G92+H92)</f>
        <v>7.1899999999999977</v>
      </c>
      <c r="K92" s="162">
        <v>65.28</v>
      </c>
      <c r="L92" s="118">
        <f>M92-K92</f>
        <v>24.091980676328504</v>
      </c>
      <c r="M92" s="169">
        <f>962/10.764</f>
        <v>89.371980676328505</v>
      </c>
      <c r="N92" s="151">
        <f>M92*I248</f>
        <v>30.968599163359425</v>
      </c>
      <c r="O92" s="114">
        <v>0</v>
      </c>
      <c r="P92" s="115"/>
    </row>
    <row r="93" spans="1:16" ht="15" customHeight="1">
      <c r="A93" s="124"/>
      <c r="B93" s="124"/>
      <c r="C93" s="124"/>
      <c r="D93" s="116"/>
      <c r="E93" s="120"/>
      <c r="F93" s="126"/>
      <c r="G93" s="117"/>
      <c r="H93" s="181"/>
      <c r="I93" s="182"/>
      <c r="J93" s="152"/>
      <c r="K93" s="152"/>
      <c r="L93" s="118"/>
      <c r="M93" s="169"/>
      <c r="N93" s="151"/>
      <c r="O93" s="114"/>
      <c r="P93" s="115"/>
    </row>
    <row r="94" spans="1:16" ht="15.95" customHeight="1">
      <c r="A94" s="124">
        <v>43</v>
      </c>
      <c r="B94" s="124"/>
      <c r="C94" s="124">
        <v>2</v>
      </c>
      <c r="D94" s="116" t="s">
        <v>124</v>
      </c>
      <c r="E94" s="120">
        <v>217</v>
      </c>
      <c r="F94" s="126">
        <v>73.900000000000006</v>
      </c>
      <c r="G94" s="117">
        <v>5.52</v>
      </c>
      <c r="H94" s="181">
        <v>3</v>
      </c>
      <c r="I94" s="182"/>
      <c r="J94" s="152">
        <f>K94-(F94+G94+H94)</f>
        <v>9.7600000000000051</v>
      </c>
      <c r="K94" s="162">
        <v>92.18</v>
      </c>
      <c r="L94" s="118">
        <f>M94-K94</f>
        <v>33.981278335191377</v>
      </c>
      <c r="M94" s="169">
        <f>1358/10.764</f>
        <v>126.16127833519138</v>
      </c>
      <c r="N94" s="151">
        <f>M94*I248</f>
        <v>43.716588008151874</v>
      </c>
      <c r="O94" s="114">
        <v>1</v>
      </c>
      <c r="P94" s="115"/>
    </row>
    <row r="95" spans="1:16" ht="19.5" customHeight="1">
      <c r="A95" s="124"/>
      <c r="B95" s="124"/>
      <c r="C95" s="124"/>
      <c r="D95" s="116"/>
      <c r="E95" s="120"/>
      <c r="F95" s="126"/>
      <c r="G95" s="117"/>
      <c r="H95" s="181"/>
      <c r="I95" s="182"/>
      <c r="J95" s="152"/>
      <c r="K95" s="152"/>
      <c r="L95" s="118"/>
      <c r="M95" s="169"/>
      <c r="N95" s="151"/>
      <c r="O95" s="114"/>
      <c r="P95" s="115"/>
    </row>
    <row r="96" spans="1:16" ht="15.95" customHeight="1">
      <c r="A96" s="124">
        <v>44</v>
      </c>
      <c r="B96" s="124"/>
      <c r="C96" s="124">
        <v>2</v>
      </c>
      <c r="D96" s="116" t="s">
        <v>124</v>
      </c>
      <c r="E96" s="120">
        <v>218</v>
      </c>
      <c r="F96" s="126">
        <v>72.650000000000006</v>
      </c>
      <c r="G96" s="117">
        <v>5.7</v>
      </c>
      <c r="H96" s="181">
        <v>0</v>
      </c>
      <c r="I96" s="182"/>
      <c r="J96" s="152">
        <f>K96-(F96+G96+H96)</f>
        <v>8.4399999999999977</v>
      </c>
      <c r="K96" s="162">
        <v>86.79</v>
      </c>
      <c r="L96" s="118">
        <f>M96-K96</f>
        <v>32.217803790412489</v>
      </c>
      <c r="M96" s="169">
        <f>1281/10.764</f>
        <v>119.0078037904125</v>
      </c>
      <c r="N96" s="151">
        <f>M96*I248</f>
        <v>41.237812399442234</v>
      </c>
      <c r="O96" s="114">
        <v>1</v>
      </c>
      <c r="P96" s="115"/>
    </row>
    <row r="97" spans="1:16" ht="18.75" customHeight="1">
      <c r="A97" s="123"/>
      <c r="B97" s="123"/>
      <c r="C97" s="123"/>
      <c r="D97" s="116"/>
      <c r="E97" s="120"/>
      <c r="F97" s="126"/>
      <c r="G97" s="117"/>
      <c r="H97" s="181"/>
      <c r="I97" s="182"/>
      <c r="J97" s="152"/>
      <c r="K97" s="152"/>
      <c r="L97" s="118"/>
      <c r="M97" s="169"/>
      <c r="N97" s="151"/>
      <c r="O97" s="114"/>
      <c r="P97" s="115"/>
    </row>
    <row r="98" spans="1:16" ht="24.75" customHeight="1">
      <c r="A98" s="123"/>
      <c r="B98" s="123" t="s">
        <v>129</v>
      </c>
      <c r="C98" s="123"/>
      <c r="D98" s="116"/>
      <c r="E98" s="120"/>
      <c r="F98" s="126"/>
      <c r="G98" s="117"/>
      <c r="H98" s="181"/>
      <c r="I98" s="182"/>
      <c r="J98" s="152"/>
      <c r="K98" s="152"/>
      <c r="L98" s="118"/>
      <c r="M98" s="169"/>
      <c r="N98" s="151"/>
      <c r="O98" s="114"/>
      <c r="P98" s="115"/>
    </row>
    <row r="99" spans="1:16" ht="15.95" customHeight="1">
      <c r="A99" s="124">
        <v>45</v>
      </c>
      <c r="B99" s="124"/>
      <c r="C99" s="124">
        <v>3</v>
      </c>
      <c r="D99" s="116" t="s">
        <v>127</v>
      </c>
      <c r="E99" s="120">
        <v>301</v>
      </c>
      <c r="F99" s="126">
        <v>40.49</v>
      </c>
      <c r="G99" s="117">
        <v>0</v>
      </c>
      <c r="H99" s="181">
        <v>0</v>
      </c>
      <c r="I99" s="182"/>
      <c r="J99" s="152">
        <f>K99-(F99+G99+H99)</f>
        <v>4.8299999999999983</v>
      </c>
      <c r="K99" s="162">
        <v>45.32</v>
      </c>
      <c r="L99" s="118">
        <f>M99-K99</f>
        <v>16.738714232627281</v>
      </c>
      <c r="M99" s="169">
        <f>668/10.764</f>
        <v>62.058714232627281</v>
      </c>
      <c r="N99" s="151">
        <f>M99*I248</f>
        <v>21.504183202831701</v>
      </c>
      <c r="O99" s="114">
        <v>0</v>
      </c>
      <c r="P99" s="115"/>
    </row>
    <row r="100" spans="1:16" ht="15.75" customHeight="1">
      <c r="A100" s="124"/>
      <c r="B100" s="124"/>
      <c r="C100" s="124"/>
      <c r="D100" s="116"/>
      <c r="E100" s="120"/>
      <c r="F100" s="126"/>
      <c r="G100" s="117"/>
      <c r="H100" s="181"/>
      <c r="I100" s="182"/>
      <c r="J100" s="152"/>
      <c r="K100" s="152"/>
      <c r="L100" s="118"/>
      <c r="M100" s="169"/>
      <c r="N100" s="151"/>
      <c r="O100" s="114"/>
      <c r="P100" s="115"/>
    </row>
    <row r="101" spans="1:16" ht="15.95" customHeight="1">
      <c r="A101" s="124">
        <v>46</v>
      </c>
      <c r="B101" s="124"/>
      <c r="C101" s="124">
        <v>3</v>
      </c>
      <c r="D101" s="116" t="s">
        <v>127</v>
      </c>
      <c r="E101" s="120">
        <v>302</v>
      </c>
      <c r="F101" s="126">
        <v>38.92</v>
      </c>
      <c r="G101" s="117">
        <v>0</v>
      </c>
      <c r="H101" s="181">
        <v>1.52</v>
      </c>
      <c r="I101" s="182"/>
      <c r="J101" s="152">
        <f>K101-(F101+G101+H101)</f>
        <v>5.7099999999999937</v>
      </c>
      <c r="K101" s="162">
        <v>46.15</v>
      </c>
      <c r="L101" s="118">
        <f>M101-K101</f>
        <v>17.116443701226316</v>
      </c>
      <c r="M101" s="169">
        <f>681/10.764</f>
        <v>63.266443701226315</v>
      </c>
      <c r="N101" s="151">
        <f>M101*I248</f>
        <v>21.922677786120342</v>
      </c>
      <c r="O101" s="114">
        <v>0</v>
      </c>
      <c r="P101" s="111"/>
    </row>
    <row r="102" spans="1:16" ht="15" customHeight="1">
      <c r="A102" s="124"/>
      <c r="B102" s="124"/>
      <c r="C102" s="124"/>
      <c r="D102" s="116"/>
      <c r="E102" s="120"/>
      <c r="F102" s="126"/>
      <c r="G102" s="117"/>
      <c r="H102" s="181"/>
      <c r="I102" s="182"/>
      <c r="J102" s="152"/>
      <c r="K102" s="152"/>
      <c r="L102" s="118"/>
      <c r="M102" s="169"/>
      <c r="N102" s="151"/>
      <c r="O102" s="114"/>
      <c r="P102" s="115"/>
    </row>
    <row r="103" spans="1:16" ht="15.95" customHeight="1">
      <c r="A103" s="124">
        <v>47</v>
      </c>
      <c r="B103" s="124"/>
      <c r="C103" s="124">
        <v>3</v>
      </c>
      <c r="D103" s="116" t="s">
        <v>127</v>
      </c>
      <c r="E103" s="120">
        <v>303</v>
      </c>
      <c r="F103" s="126">
        <v>41.72</v>
      </c>
      <c r="G103" s="117">
        <v>2.19</v>
      </c>
      <c r="H103" s="181">
        <v>0</v>
      </c>
      <c r="I103" s="182"/>
      <c r="J103" s="152">
        <f>K103-(F103+G103+H103)</f>
        <v>8.0600000000000023</v>
      </c>
      <c r="K103" s="162">
        <v>51.97</v>
      </c>
      <c r="L103" s="118">
        <f>M103-K103</f>
        <v>18.078309178743964</v>
      </c>
      <c r="M103" s="169">
        <f>754/10.764</f>
        <v>70.048309178743963</v>
      </c>
      <c r="N103" s="151">
        <f>M103*I248</f>
        <v>24.272685830741171</v>
      </c>
      <c r="O103" s="114">
        <v>0</v>
      </c>
      <c r="P103" s="115"/>
    </row>
    <row r="104" spans="1:16" ht="15.95" customHeight="1">
      <c r="A104" s="124"/>
      <c r="B104" s="124"/>
      <c r="C104" s="124"/>
      <c r="D104" s="116"/>
      <c r="E104" s="120"/>
      <c r="F104" s="126"/>
      <c r="G104" s="117"/>
      <c r="H104" s="181"/>
      <c r="I104" s="182"/>
      <c r="J104" s="152"/>
      <c r="K104" s="152"/>
      <c r="L104" s="118"/>
      <c r="M104" s="169"/>
      <c r="N104" s="151"/>
      <c r="O104" s="114"/>
      <c r="P104" s="115"/>
    </row>
    <row r="105" spans="1:16" ht="17.25" customHeight="1">
      <c r="A105" s="124">
        <v>48</v>
      </c>
      <c r="B105" s="124"/>
      <c r="C105" s="124">
        <v>3</v>
      </c>
      <c r="D105" s="116" t="s">
        <v>127</v>
      </c>
      <c r="E105" s="120">
        <v>304</v>
      </c>
      <c r="F105" s="126">
        <v>38.36</v>
      </c>
      <c r="G105" s="117">
        <v>0</v>
      </c>
      <c r="H105" s="181">
        <v>0</v>
      </c>
      <c r="I105" s="182"/>
      <c r="J105" s="152">
        <f>K105-(F105+G105+H105)</f>
        <v>4.759999999999998</v>
      </c>
      <c r="K105" s="162">
        <v>43.12</v>
      </c>
      <c r="L105" s="118">
        <f>M105-K105</f>
        <v>16.801962095875147</v>
      </c>
      <c r="M105" s="169">
        <f>645/10.764</f>
        <v>59.921962095875145</v>
      </c>
      <c r="N105" s="151">
        <f>M105*I248</f>
        <v>20.763769709321032</v>
      </c>
      <c r="O105" s="114">
        <v>0</v>
      </c>
      <c r="P105" s="115"/>
    </row>
    <row r="106" spans="1:16" ht="15.95" customHeight="1">
      <c r="A106" s="124"/>
      <c r="B106" s="124"/>
      <c r="C106" s="124"/>
      <c r="D106" s="116"/>
      <c r="E106" s="120"/>
      <c r="F106" s="126"/>
      <c r="G106" s="117"/>
      <c r="H106" s="181"/>
      <c r="I106" s="182"/>
      <c r="J106" s="152"/>
      <c r="K106" s="152"/>
      <c r="L106" s="118"/>
      <c r="M106" s="169"/>
      <c r="N106" s="151"/>
      <c r="O106" s="114"/>
      <c r="P106" s="115"/>
    </row>
    <row r="107" spans="1:16" ht="15" customHeight="1">
      <c r="A107" s="124">
        <v>49</v>
      </c>
      <c r="B107" s="124"/>
      <c r="C107" s="124">
        <v>3</v>
      </c>
      <c r="D107" s="116" t="s">
        <v>127</v>
      </c>
      <c r="E107" s="120">
        <v>305</v>
      </c>
      <c r="F107" s="126">
        <v>41.4</v>
      </c>
      <c r="G107" s="117">
        <v>0</v>
      </c>
      <c r="H107" s="181">
        <v>2.17</v>
      </c>
      <c r="I107" s="182"/>
      <c r="J107" s="152">
        <f>K107-(F107+G107+H107)</f>
        <v>5</v>
      </c>
      <c r="K107" s="162">
        <v>48.57</v>
      </c>
      <c r="L107" s="118">
        <f>M107-K107</f>
        <v>17.855120772946869</v>
      </c>
      <c r="M107" s="169">
        <f>715/10.764</f>
        <v>66.425120772946869</v>
      </c>
      <c r="N107" s="151">
        <f>M107*I248</f>
        <v>23.017202080875251</v>
      </c>
      <c r="O107" s="114">
        <v>0</v>
      </c>
      <c r="P107" s="115"/>
    </row>
    <row r="108" spans="1:16" ht="15.95" customHeight="1">
      <c r="A108" s="124"/>
      <c r="B108" s="124"/>
      <c r="C108" s="124"/>
      <c r="D108" s="116"/>
      <c r="E108" s="120"/>
      <c r="F108" s="126"/>
      <c r="G108" s="117"/>
      <c r="H108" s="151"/>
      <c r="I108" s="152"/>
      <c r="J108" s="152"/>
      <c r="K108" s="152"/>
      <c r="L108" s="118"/>
      <c r="M108" s="169"/>
      <c r="N108" s="151"/>
      <c r="O108" s="114"/>
      <c r="P108" s="115"/>
    </row>
    <row r="109" spans="1:16" ht="26.25" customHeight="1">
      <c r="A109" s="123"/>
      <c r="B109" s="123" t="s">
        <v>130</v>
      </c>
      <c r="C109" s="123"/>
      <c r="D109" s="107"/>
      <c r="E109" s="121"/>
      <c r="F109" s="125"/>
      <c r="G109" s="108"/>
      <c r="H109" s="183"/>
      <c r="I109" s="184"/>
      <c r="J109" s="153"/>
      <c r="K109" s="153"/>
      <c r="L109" s="109"/>
      <c r="M109" s="170"/>
      <c r="N109" s="119"/>
      <c r="O109" s="113"/>
      <c r="P109" s="111"/>
    </row>
    <row r="110" spans="1:16" ht="15.95" customHeight="1">
      <c r="A110" s="124">
        <v>50</v>
      </c>
      <c r="B110" s="124"/>
      <c r="C110" s="124">
        <v>3</v>
      </c>
      <c r="D110" s="116" t="s">
        <v>127</v>
      </c>
      <c r="E110" s="120">
        <v>301</v>
      </c>
      <c r="F110" s="126">
        <v>57.56</v>
      </c>
      <c r="G110" s="117">
        <v>0</v>
      </c>
      <c r="H110" s="181">
        <v>0</v>
      </c>
      <c r="I110" s="182"/>
      <c r="J110" s="152">
        <f>K110-(F110+G110+H110)</f>
        <v>6.1699999999999946</v>
      </c>
      <c r="K110" s="162">
        <v>63.73</v>
      </c>
      <c r="L110" s="118">
        <f>M110-K110</f>
        <v>24.062642140468235</v>
      </c>
      <c r="M110" s="169">
        <f>945/10.764</f>
        <v>87.792642140468232</v>
      </c>
      <c r="N110" s="151">
        <f>M110*I248</f>
        <v>30.421337015981972</v>
      </c>
      <c r="O110" s="114">
        <v>0</v>
      </c>
      <c r="P110" s="115"/>
    </row>
    <row r="111" spans="1:16" ht="18.75" customHeight="1">
      <c r="A111" s="124"/>
      <c r="B111" s="124"/>
      <c r="C111" s="124"/>
      <c r="D111" s="116"/>
      <c r="E111" s="120"/>
      <c r="F111" s="126"/>
      <c r="G111" s="117"/>
      <c r="H111" s="181"/>
      <c r="I111" s="182"/>
      <c r="J111" s="152"/>
      <c r="K111" s="152"/>
      <c r="L111" s="118"/>
      <c r="M111" s="169"/>
      <c r="N111" s="151"/>
      <c r="O111" s="114"/>
      <c r="P111" s="115"/>
    </row>
    <row r="112" spans="1:16" ht="15.95" customHeight="1">
      <c r="A112" s="124">
        <v>51</v>
      </c>
      <c r="B112" s="124"/>
      <c r="C112" s="124">
        <v>3</v>
      </c>
      <c r="D112" s="116" t="s">
        <v>127</v>
      </c>
      <c r="E112" s="120">
        <v>302</v>
      </c>
      <c r="F112" s="126">
        <v>54.43</v>
      </c>
      <c r="G112" s="117">
        <v>5.95</v>
      </c>
      <c r="H112" s="181">
        <v>0</v>
      </c>
      <c r="I112" s="182"/>
      <c r="J112" s="152">
        <f>K112-(F112+G112+H112)</f>
        <v>8.2100000000000009</v>
      </c>
      <c r="K112" s="162">
        <v>68.59</v>
      </c>
      <c r="L112" s="118">
        <f>M112-K112</f>
        <v>25.427094017094021</v>
      </c>
      <c r="M112" s="169">
        <f>1012/10.764</f>
        <v>94.017094017094024</v>
      </c>
      <c r="N112" s="151">
        <f>M112*I248</f>
        <v>32.578193714469585</v>
      </c>
      <c r="O112" s="114">
        <v>0</v>
      </c>
      <c r="P112" s="115"/>
    </row>
    <row r="113" spans="1:16" ht="15" customHeight="1">
      <c r="A113" s="124"/>
      <c r="B113" s="124"/>
      <c r="C113" s="124"/>
      <c r="D113" s="116"/>
      <c r="E113" s="120"/>
      <c r="F113" s="126"/>
      <c r="G113" s="117"/>
      <c r="H113" s="181"/>
      <c r="I113" s="182"/>
      <c r="J113" s="152"/>
      <c r="K113" s="152"/>
      <c r="L113" s="118"/>
      <c r="M113" s="169"/>
      <c r="N113" s="151"/>
      <c r="O113" s="114"/>
      <c r="P113" s="115"/>
    </row>
    <row r="114" spans="1:16" ht="15.95" customHeight="1">
      <c r="A114" s="124">
        <v>52</v>
      </c>
      <c r="B114" s="124"/>
      <c r="C114" s="124">
        <v>3</v>
      </c>
      <c r="D114" s="116" t="s">
        <v>127</v>
      </c>
      <c r="E114" s="120">
        <v>303</v>
      </c>
      <c r="F114" s="126">
        <v>43.53</v>
      </c>
      <c r="G114" s="117">
        <v>2.91</v>
      </c>
      <c r="H114" s="181">
        <v>0</v>
      </c>
      <c r="I114" s="182"/>
      <c r="J114" s="152">
        <f>K114-(F114+G114+H114)</f>
        <v>6.7000000000000028</v>
      </c>
      <c r="K114" s="162">
        <v>53.14</v>
      </c>
      <c r="L114" s="118">
        <f>M114-K114</f>
        <v>19.788279450018578</v>
      </c>
      <c r="M114" s="169">
        <f>785/10.764</f>
        <v>72.928279450018579</v>
      </c>
      <c r="N114" s="151">
        <f>M114*I248</f>
        <v>25.270634452429469</v>
      </c>
      <c r="O114" s="114">
        <v>0</v>
      </c>
      <c r="P114" s="115"/>
    </row>
    <row r="115" spans="1:16" ht="15" customHeight="1">
      <c r="A115" s="124"/>
      <c r="B115" s="124"/>
      <c r="C115" s="124"/>
      <c r="D115" s="116"/>
      <c r="E115" s="120"/>
      <c r="F115" s="126"/>
      <c r="G115" s="117"/>
      <c r="H115" s="181"/>
      <c r="I115" s="182"/>
      <c r="J115" s="152"/>
      <c r="K115" s="152"/>
      <c r="L115" s="118"/>
      <c r="M115" s="169"/>
      <c r="N115" s="151"/>
      <c r="O115" s="114"/>
      <c r="P115" s="115"/>
    </row>
    <row r="116" spans="1:16" ht="15.95" customHeight="1">
      <c r="A116" s="124">
        <v>53</v>
      </c>
      <c r="B116" s="124"/>
      <c r="C116" s="124">
        <v>3</v>
      </c>
      <c r="D116" s="116" t="s">
        <v>124</v>
      </c>
      <c r="E116" s="120">
        <v>304</v>
      </c>
      <c r="F116" s="126">
        <v>68.67</v>
      </c>
      <c r="G116" s="117">
        <v>5.76</v>
      </c>
      <c r="H116" s="181">
        <v>0</v>
      </c>
      <c r="I116" s="182"/>
      <c r="J116" s="152">
        <f>K116-(F116+G116+H116)</f>
        <v>9.25</v>
      </c>
      <c r="K116" s="162">
        <v>83.68</v>
      </c>
      <c r="L116" s="118">
        <f>M116-K116</f>
        <v>30.589788182831654</v>
      </c>
      <c r="M116" s="169">
        <f>1230/10.764</f>
        <v>114.26978818283166</v>
      </c>
      <c r="N116" s="151">
        <f>M116*I248</f>
        <v>39.59602595730987</v>
      </c>
      <c r="O116" s="114">
        <v>1</v>
      </c>
      <c r="P116" s="115"/>
    </row>
    <row r="117" spans="1:16" ht="12.75" customHeight="1">
      <c r="A117" s="124"/>
      <c r="B117" s="124"/>
      <c r="C117" s="124"/>
      <c r="D117" s="116"/>
      <c r="E117" s="120"/>
      <c r="F117" s="126"/>
      <c r="G117" s="117"/>
      <c r="H117" s="181"/>
      <c r="I117" s="182"/>
      <c r="J117" s="152"/>
      <c r="K117" s="152"/>
      <c r="L117" s="118"/>
      <c r="M117" s="169"/>
      <c r="N117" s="151"/>
      <c r="O117" s="114"/>
      <c r="P117" s="115"/>
    </row>
    <row r="118" spans="1:16" ht="15.95" customHeight="1">
      <c r="A118" s="124">
        <v>54</v>
      </c>
      <c r="B118" s="124"/>
      <c r="C118" s="124">
        <v>3</v>
      </c>
      <c r="D118" s="116" t="s">
        <v>127</v>
      </c>
      <c r="E118" s="120">
        <v>305</v>
      </c>
      <c r="F118" s="126">
        <v>53.47</v>
      </c>
      <c r="G118" s="117">
        <v>7.57</v>
      </c>
      <c r="H118" s="181">
        <v>0</v>
      </c>
      <c r="I118" s="182"/>
      <c r="J118" s="152">
        <f>K118-(F118+G118+H118)</f>
        <v>7.8500000000000014</v>
      </c>
      <c r="K118" s="162">
        <v>68.89</v>
      </c>
      <c r="L118" s="118">
        <f>M118-K118</f>
        <v>24.941289483463407</v>
      </c>
      <c r="M118" s="169">
        <f>1010/10.764</f>
        <v>93.831289483463408</v>
      </c>
      <c r="N118" s="151">
        <f>M118*I248</f>
        <v>32.513809932425183</v>
      </c>
      <c r="O118" s="114">
        <v>0</v>
      </c>
      <c r="P118" s="115"/>
    </row>
    <row r="119" spans="1:16" ht="15.75" customHeight="1">
      <c r="A119" s="124"/>
      <c r="B119" s="124"/>
      <c r="C119" s="124"/>
      <c r="D119" s="116"/>
      <c r="E119" s="120"/>
      <c r="F119" s="126"/>
      <c r="G119" s="117"/>
      <c r="H119" s="181"/>
      <c r="I119" s="182"/>
      <c r="J119" s="152"/>
      <c r="K119" s="152"/>
      <c r="L119" s="118"/>
      <c r="M119" s="169"/>
      <c r="N119" s="151"/>
      <c r="O119" s="114"/>
      <c r="P119" s="115"/>
    </row>
    <row r="120" spans="1:16" ht="15.95" customHeight="1">
      <c r="A120" s="124">
        <v>55</v>
      </c>
      <c r="B120" s="124"/>
      <c r="C120" s="124">
        <v>3</v>
      </c>
      <c r="D120" s="116" t="s">
        <v>127</v>
      </c>
      <c r="E120" s="120">
        <v>306</v>
      </c>
      <c r="F120" s="126">
        <v>60.34</v>
      </c>
      <c r="G120" s="117">
        <v>4.57</v>
      </c>
      <c r="H120" s="181">
        <v>0</v>
      </c>
      <c r="I120" s="182"/>
      <c r="J120" s="152">
        <f>K120-(F120+G120+H120)</f>
        <v>9.3800000000000097</v>
      </c>
      <c r="K120" s="162">
        <v>74.290000000000006</v>
      </c>
      <c r="L120" s="118">
        <f>M120-K120</f>
        <v>27.437982162764769</v>
      </c>
      <c r="M120" s="169">
        <f>1095/10.764</f>
        <v>101.72798216276477</v>
      </c>
      <c r="N120" s="151">
        <f>M120*I248</f>
        <v>35.250120669312444</v>
      </c>
      <c r="O120" s="114">
        <v>0</v>
      </c>
      <c r="P120" s="115"/>
    </row>
    <row r="121" spans="1:16" ht="20.25" customHeight="1">
      <c r="A121" s="124"/>
      <c r="B121" s="124"/>
      <c r="C121" s="124"/>
      <c r="D121" s="116"/>
      <c r="E121" s="120"/>
      <c r="F121" s="126"/>
      <c r="G121" s="117"/>
      <c r="H121" s="181"/>
      <c r="I121" s="182"/>
      <c r="J121" s="152"/>
      <c r="K121" s="152"/>
      <c r="L121" s="118"/>
      <c r="M121" s="169"/>
      <c r="N121" s="151"/>
      <c r="O121" s="114"/>
      <c r="P121" s="115"/>
    </row>
    <row r="122" spans="1:16" ht="15.95" customHeight="1">
      <c r="A122" s="124">
        <v>56</v>
      </c>
      <c r="B122" s="124"/>
      <c r="C122" s="124">
        <v>3</v>
      </c>
      <c r="D122" s="116" t="s">
        <v>124</v>
      </c>
      <c r="E122" s="120">
        <v>307</v>
      </c>
      <c r="F122" s="126">
        <v>79.459999999999994</v>
      </c>
      <c r="G122" s="117">
        <v>5.52</v>
      </c>
      <c r="H122" s="181">
        <v>0</v>
      </c>
      <c r="I122" s="182"/>
      <c r="J122" s="152">
        <f>K122-(F122+G122+H122)</f>
        <v>9.1300000000000097</v>
      </c>
      <c r="K122" s="162">
        <v>94.11</v>
      </c>
      <c r="L122" s="118">
        <f>M122-K122</f>
        <v>31.40096246748422</v>
      </c>
      <c r="M122" s="169">
        <f>1351/10.764</f>
        <v>125.51096246748422</v>
      </c>
      <c r="N122" s="151">
        <f>M122*I248</f>
        <v>43.491244770996452</v>
      </c>
      <c r="O122" s="114">
        <v>1</v>
      </c>
      <c r="P122" s="115"/>
    </row>
    <row r="123" spans="1:16" ht="15" customHeight="1">
      <c r="A123" s="124"/>
      <c r="B123" s="124"/>
      <c r="C123" s="124"/>
      <c r="D123" s="116"/>
      <c r="E123" s="120"/>
      <c r="F123" s="126"/>
      <c r="G123" s="117"/>
      <c r="H123" s="181"/>
      <c r="I123" s="182"/>
      <c r="J123" s="152"/>
      <c r="K123" s="152"/>
      <c r="L123" s="118"/>
      <c r="M123" s="169"/>
      <c r="N123" s="151"/>
      <c r="O123" s="114"/>
      <c r="P123" s="115"/>
    </row>
    <row r="124" spans="1:16" ht="20.25" customHeight="1">
      <c r="A124" s="124">
        <v>57</v>
      </c>
      <c r="B124" s="124"/>
      <c r="C124" s="124">
        <v>3</v>
      </c>
      <c r="D124" s="116" t="s">
        <v>124</v>
      </c>
      <c r="E124" s="120">
        <v>308</v>
      </c>
      <c r="F124" s="126">
        <v>76.22</v>
      </c>
      <c r="G124" s="117">
        <v>7.26</v>
      </c>
      <c r="H124" s="181">
        <v>0</v>
      </c>
      <c r="I124" s="182"/>
      <c r="J124" s="152">
        <f>K124-(F124+G124+H124)</f>
        <v>9.6599999999999966</v>
      </c>
      <c r="K124" s="162">
        <v>93.14</v>
      </c>
      <c r="L124" s="118">
        <f>M124-K124</f>
        <v>34.507714604236355</v>
      </c>
      <c r="M124" s="169">
        <f>1374/10.764</f>
        <v>127.64771460423636</v>
      </c>
      <c r="N124" s="151">
        <f>M124*I248</f>
        <v>44.231658264507125</v>
      </c>
      <c r="O124" s="114">
        <v>1</v>
      </c>
      <c r="P124" s="115"/>
    </row>
    <row r="125" spans="1:16" ht="15" customHeight="1">
      <c r="A125" s="124"/>
      <c r="B125" s="124"/>
      <c r="C125" s="124"/>
      <c r="D125" s="116"/>
      <c r="E125" s="120"/>
      <c r="F125" s="126"/>
      <c r="G125" s="117"/>
      <c r="H125" s="181"/>
      <c r="I125" s="182"/>
      <c r="J125" s="152"/>
      <c r="K125" s="152"/>
      <c r="L125" s="118"/>
      <c r="M125" s="169"/>
      <c r="N125" s="151"/>
      <c r="O125" s="114"/>
      <c r="P125" s="115"/>
    </row>
    <row r="126" spans="1:16" ht="21.75" customHeight="1">
      <c r="A126" s="124">
        <v>58</v>
      </c>
      <c r="B126" s="124"/>
      <c r="C126" s="124">
        <v>3</v>
      </c>
      <c r="D126" s="116" t="s">
        <v>124</v>
      </c>
      <c r="E126" s="120">
        <v>309</v>
      </c>
      <c r="F126" s="126">
        <v>77.239999999999995</v>
      </c>
      <c r="G126" s="117">
        <v>5.18</v>
      </c>
      <c r="H126" s="181">
        <v>0</v>
      </c>
      <c r="I126" s="182"/>
      <c r="J126" s="152">
        <f>K126-(F126+G126+H126)</f>
        <v>9.210000000000008</v>
      </c>
      <c r="K126" s="162">
        <v>91.63</v>
      </c>
      <c r="L126" s="118">
        <f>M126-K126</f>
        <v>33.602255667038293</v>
      </c>
      <c r="M126" s="169">
        <f>1348/10.764</f>
        <v>125.23225566703829</v>
      </c>
      <c r="N126" s="151">
        <f>M126*I248</f>
        <v>43.394669097929842</v>
      </c>
      <c r="O126" s="114">
        <v>1</v>
      </c>
      <c r="P126" s="115"/>
    </row>
    <row r="127" spans="1:16" ht="15.75" customHeight="1">
      <c r="A127" s="124"/>
      <c r="B127" s="124"/>
      <c r="C127" s="124"/>
      <c r="D127" s="116"/>
      <c r="E127" s="120"/>
      <c r="F127" s="126"/>
      <c r="G127" s="117"/>
      <c r="H127" s="181"/>
      <c r="I127" s="182"/>
      <c r="J127" s="152"/>
      <c r="K127" s="152"/>
      <c r="L127" s="118"/>
      <c r="M127" s="169"/>
      <c r="N127" s="151"/>
      <c r="O127" s="114"/>
      <c r="P127" s="115"/>
    </row>
    <row r="128" spans="1:16" ht="15.95" customHeight="1">
      <c r="A128" s="124">
        <v>59</v>
      </c>
      <c r="B128" s="124"/>
      <c r="C128" s="124">
        <v>3</v>
      </c>
      <c r="D128" s="116" t="s">
        <v>127</v>
      </c>
      <c r="E128" s="120">
        <v>310</v>
      </c>
      <c r="F128" s="126">
        <v>53.56</v>
      </c>
      <c r="G128" s="117">
        <v>6.87</v>
      </c>
      <c r="H128" s="181">
        <v>0</v>
      </c>
      <c r="I128" s="182"/>
      <c r="J128" s="152">
        <f>K128-(F128+G128+H128)</f>
        <v>7.7500000000000071</v>
      </c>
      <c r="K128" s="162">
        <v>68.180000000000007</v>
      </c>
      <c r="L128" s="118">
        <f>M128-K128</f>
        <v>24.164853214418429</v>
      </c>
      <c r="M128" s="169">
        <f>994/10.764</f>
        <v>92.344853214418436</v>
      </c>
      <c r="N128" s="151">
        <f>M128*I248</f>
        <v>31.998739676069928</v>
      </c>
      <c r="O128" s="114">
        <v>0</v>
      </c>
      <c r="P128" s="115"/>
    </row>
    <row r="129" spans="1:16" ht="18" customHeight="1">
      <c r="A129" s="124"/>
      <c r="B129" s="124"/>
      <c r="C129" s="124"/>
      <c r="D129" s="116"/>
      <c r="E129" s="120"/>
      <c r="F129" s="126"/>
      <c r="G129" s="117"/>
      <c r="H129" s="181"/>
      <c r="I129" s="182"/>
      <c r="J129" s="152"/>
      <c r="K129" s="152"/>
      <c r="L129" s="118"/>
      <c r="M129" s="169"/>
      <c r="N129" s="151"/>
      <c r="O129" s="114"/>
      <c r="P129" s="115"/>
    </row>
    <row r="130" spans="1:16" ht="15.95" customHeight="1">
      <c r="A130" s="124">
        <v>60</v>
      </c>
      <c r="B130" s="124"/>
      <c r="C130" s="124">
        <v>3</v>
      </c>
      <c r="D130" s="116" t="s">
        <v>128</v>
      </c>
      <c r="E130" s="120">
        <v>311</v>
      </c>
      <c r="F130" s="126">
        <v>28.45</v>
      </c>
      <c r="G130" s="117">
        <v>0</v>
      </c>
      <c r="H130" s="181">
        <v>0</v>
      </c>
      <c r="I130" s="182"/>
      <c r="J130" s="152">
        <f>K130-(F130+G130+H130)</f>
        <v>4.5999999999999979</v>
      </c>
      <c r="K130" s="162">
        <v>33.049999999999997</v>
      </c>
      <c r="L130" s="118">
        <f>M130-K130</f>
        <v>12.286306205871426</v>
      </c>
      <c r="M130" s="169">
        <f>488/10.764</f>
        <v>45.336306205871423</v>
      </c>
      <c r="N130" s="151">
        <f>M130*I248</f>
        <v>15.709642818835135</v>
      </c>
      <c r="O130" s="114">
        <v>0</v>
      </c>
      <c r="P130" s="115"/>
    </row>
    <row r="131" spans="1:16" ht="17.25" customHeight="1">
      <c r="A131" s="124"/>
      <c r="B131" s="124"/>
      <c r="C131" s="124"/>
      <c r="D131" s="116"/>
      <c r="E131" s="120"/>
      <c r="F131" s="126"/>
      <c r="G131" s="117"/>
      <c r="H131" s="181"/>
      <c r="I131" s="182"/>
      <c r="J131" s="152"/>
      <c r="K131" s="152"/>
      <c r="L131" s="118"/>
      <c r="M131" s="169"/>
      <c r="N131" s="151"/>
      <c r="O131" s="114"/>
      <c r="P131" s="115"/>
    </row>
    <row r="132" spans="1:16" ht="15.95" customHeight="1">
      <c r="A132" s="124">
        <v>61</v>
      </c>
      <c r="B132" s="124"/>
      <c r="C132" s="124">
        <v>3</v>
      </c>
      <c r="D132" s="116" t="s">
        <v>127</v>
      </c>
      <c r="E132" s="120">
        <v>312</v>
      </c>
      <c r="F132" s="126">
        <v>55.13</v>
      </c>
      <c r="G132" s="117">
        <v>7.08</v>
      </c>
      <c r="H132" s="181">
        <v>0</v>
      </c>
      <c r="I132" s="182"/>
      <c r="J132" s="152">
        <f>K132-(F132+G132+H132)</f>
        <v>7.6999999999999957</v>
      </c>
      <c r="K132" s="162">
        <v>69.91</v>
      </c>
      <c r="L132" s="118">
        <f>M132-K132</f>
        <v>25.872237086584917</v>
      </c>
      <c r="M132" s="169">
        <f>1031/10.764</f>
        <v>95.782237086584914</v>
      </c>
      <c r="N132" s="151">
        <f>M132*I248</f>
        <v>33.189839643891446</v>
      </c>
      <c r="O132" s="114">
        <v>0</v>
      </c>
      <c r="P132" s="115"/>
    </row>
    <row r="133" spans="1:16" ht="13.5" customHeight="1">
      <c r="A133" s="124"/>
      <c r="B133" s="124"/>
      <c r="C133" s="124"/>
      <c r="D133" s="116"/>
      <c r="E133" s="120"/>
      <c r="F133" s="126"/>
      <c r="G133" s="117"/>
      <c r="H133" s="181"/>
      <c r="I133" s="182"/>
      <c r="J133" s="152"/>
      <c r="K133" s="152"/>
      <c r="L133" s="118"/>
      <c r="M133" s="169"/>
      <c r="N133" s="151"/>
      <c r="O133" s="114"/>
      <c r="P133" s="115"/>
    </row>
    <row r="134" spans="1:16" ht="15.95" customHeight="1">
      <c r="A134" s="124">
        <v>62</v>
      </c>
      <c r="B134" s="124"/>
      <c r="C134" s="124">
        <v>3</v>
      </c>
      <c r="D134" s="116" t="s">
        <v>127</v>
      </c>
      <c r="E134" s="120">
        <v>313</v>
      </c>
      <c r="F134" s="126">
        <v>54.8</v>
      </c>
      <c r="G134" s="117">
        <v>3.87</v>
      </c>
      <c r="H134" s="181">
        <v>3.88</v>
      </c>
      <c r="I134" s="182"/>
      <c r="J134" s="152">
        <f>K134-(F134+G134+H134)</f>
        <v>7.210000000000008</v>
      </c>
      <c r="K134" s="162">
        <v>69.760000000000005</v>
      </c>
      <c r="L134" s="118">
        <f>M134-K134</f>
        <v>26.672552954292087</v>
      </c>
      <c r="M134" s="169">
        <f>1038/10.764</f>
        <v>96.432552954292092</v>
      </c>
      <c r="N134" s="151">
        <f>M134*I248</f>
        <v>33.415182881046867</v>
      </c>
      <c r="O134" s="114">
        <v>0</v>
      </c>
      <c r="P134" s="115"/>
    </row>
    <row r="135" spans="1:16" ht="17.25" customHeight="1">
      <c r="A135" s="124"/>
      <c r="B135" s="124"/>
      <c r="C135" s="124"/>
      <c r="D135" s="116"/>
      <c r="E135" s="120"/>
      <c r="F135" s="126"/>
      <c r="G135" s="117"/>
      <c r="H135" s="181"/>
      <c r="I135" s="182"/>
      <c r="J135" s="152"/>
      <c r="K135" s="152"/>
      <c r="L135" s="118"/>
      <c r="M135" s="169"/>
      <c r="N135" s="151"/>
      <c r="O135" s="114"/>
      <c r="P135" s="115"/>
    </row>
    <row r="136" spans="1:16" ht="15.95" customHeight="1">
      <c r="A136" s="124">
        <v>63</v>
      </c>
      <c r="B136" s="124"/>
      <c r="C136" s="124">
        <v>3</v>
      </c>
      <c r="D136" s="116" t="s">
        <v>127</v>
      </c>
      <c r="E136" s="120">
        <v>314</v>
      </c>
      <c r="F136" s="126">
        <v>57.98</v>
      </c>
      <c r="G136" s="117">
        <v>8.83</v>
      </c>
      <c r="H136" s="181">
        <v>0</v>
      </c>
      <c r="I136" s="182"/>
      <c r="J136" s="152">
        <f>K136-(F136+G136+H136)</f>
        <v>7.3900000000000006</v>
      </c>
      <c r="K136" s="162">
        <v>74.2</v>
      </c>
      <c r="L136" s="118">
        <f>M136-K136</f>
        <v>27.806688963210703</v>
      </c>
      <c r="M136" s="169">
        <f>1098/10.764</f>
        <v>102.00668896321071</v>
      </c>
      <c r="N136" s="151">
        <f>M136*I248</f>
        <v>35.346696342379055</v>
      </c>
      <c r="O136" s="114">
        <v>0</v>
      </c>
      <c r="P136" s="115"/>
    </row>
    <row r="137" spans="1:16" ht="18" customHeight="1">
      <c r="A137" s="124"/>
      <c r="B137" s="124"/>
      <c r="C137" s="124"/>
      <c r="D137" s="116"/>
      <c r="E137" s="120"/>
      <c r="F137" s="126"/>
      <c r="G137" s="117"/>
      <c r="H137" s="181"/>
      <c r="I137" s="182"/>
      <c r="J137" s="152"/>
      <c r="K137" s="152"/>
      <c r="L137" s="118"/>
      <c r="M137" s="169"/>
      <c r="N137" s="151"/>
      <c r="O137" s="114"/>
      <c r="P137" s="115"/>
    </row>
    <row r="138" spans="1:16" ht="15.95" customHeight="1">
      <c r="A138" s="124">
        <v>64</v>
      </c>
      <c r="B138" s="124"/>
      <c r="C138" s="124">
        <v>3</v>
      </c>
      <c r="D138" s="116" t="s">
        <v>127</v>
      </c>
      <c r="E138" s="120">
        <v>315</v>
      </c>
      <c r="F138" s="126">
        <v>58.39</v>
      </c>
      <c r="G138" s="117">
        <v>3.46</v>
      </c>
      <c r="H138" s="181">
        <v>0</v>
      </c>
      <c r="I138" s="182"/>
      <c r="J138" s="152">
        <f>K138-(F138+G138+H138)</f>
        <v>7.3399999999999963</v>
      </c>
      <c r="K138" s="162">
        <v>69.19</v>
      </c>
      <c r="L138" s="118">
        <f>M138-K138</f>
        <v>25.570312151616506</v>
      </c>
      <c r="M138" s="169">
        <f>1020/10.764</f>
        <v>94.760312151616503</v>
      </c>
      <c r="N138" s="151">
        <f>M138*I248</f>
        <v>32.835728842647207</v>
      </c>
      <c r="O138" s="114">
        <v>0</v>
      </c>
      <c r="P138" s="115"/>
    </row>
    <row r="139" spans="1:16" ht="16.5" customHeight="1">
      <c r="A139" s="124"/>
      <c r="B139" s="124"/>
      <c r="C139" s="124"/>
      <c r="D139" s="116"/>
      <c r="E139" s="120"/>
      <c r="F139" s="126"/>
      <c r="G139" s="117"/>
      <c r="H139" s="181"/>
      <c r="I139" s="182"/>
      <c r="J139" s="152"/>
      <c r="K139" s="152"/>
      <c r="L139" s="118"/>
      <c r="M139" s="169"/>
      <c r="N139" s="151"/>
      <c r="O139" s="114"/>
      <c r="P139" s="115"/>
    </row>
    <row r="140" spans="1:16" ht="15.95" customHeight="1">
      <c r="A140" s="124">
        <v>65</v>
      </c>
      <c r="B140" s="124"/>
      <c r="C140" s="124">
        <v>3</v>
      </c>
      <c r="D140" s="116" t="s">
        <v>127</v>
      </c>
      <c r="E140" s="120">
        <v>316</v>
      </c>
      <c r="F140" s="126">
        <v>53.31</v>
      </c>
      <c r="G140" s="117">
        <v>4.78</v>
      </c>
      <c r="H140" s="181">
        <v>0</v>
      </c>
      <c r="I140" s="182"/>
      <c r="J140" s="152">
        <f>K140-(F140+G140+H140)</f>
        <v>7.1899999999999977</v>
      </c>
      <c r="K140" s="162">
        <v>65.28</v>
      </c>
      <c r="L140" s="118">
        <f>M140-K140</f>
        <v>24.091980676328504</v>
      </c>
      <c r="M140" s="169">
        <f>962/10.764</f>
        <v>89.371980676328505</v>
      </c>
      <c r="N140" s="151">
        <f>M140*I248</f>
        <v>30.968599163359425</v>
      </c>
      <c r="O140" s="114">
        <v>0</v>
      </c>
      <c r="P140" s="115"/>
    </row>
    <row r="141" spans="1:16" ht="15" customHeight="1">
      <c r="A141" s="124"/>
      <c r="B141" s="124"/>
      <c r="C141" s="124"/>
      <c r="D141" s="116"/>
      <c r="E141" s="120"/>
      <c r="F141" s="126"/>
      <c r="G141" s="117"/>
      <c r="H141" s="181"/>
      <c r="I141" s="182"/>
      <c r="J141" s="152"/>
      <c r="K141" s="152"/>
      <c r="L141" s="118"/>
      <c r="M141" s="169"/>
      <c r="N141" s="151"/>
      <c r="O141" s="114"/>
      <c r="P141" s="115"/>
    </row>
    <row r="142" spans="1:16" ht="15.95" customHeight="1">
      <c r="A142" s="124">
        <v>66</v>
      </c>
      <c r="B142" s="124"/>
      <c r="C142" s="124">
        <v>3</v>
      </c>
      <c r="D142" s="116" t="s">
        <v>124</v>
      </c>
      <c r="E142" s="120">
        <v>317</v>
      </c>
      <c r="F142" s="126">
        <v>73.900000000000006</v>
      </c>
      <c r="G142" s="117">
        <v>5.52</v>
      </c>
      <c r="H142" s="181">
        <v>3</v>
      </c>
      <c r="I142" s="182"/>
      <c r="J142" s="152">
        <f>K142-(F142+G142+H142)</f>
        <v>9.7600000000000051</v>
      </c>
      <c r="K142" s="162">
        <v>92.18</v>
      </c>
      <c r="L142" s="118">
        <f>M142-K142</f>
        <v>33.981278335191377</v>
      </c>
      <c r="M142" s="169">
        <f>1358/10.764</f>
        <v>126.16127833519138</v>
      </c>
      <c r="N142" s="151">
        <f>M142*I248</f>
        <v>43.716588008151874</v>
      </c>
      <c r="O142" s="114">
        <v>1</v>
      </c>
      <c r="P142" s="115"/>
    </row>
    <row r="143" spans="1:16" ht="19.5" customHeight="1">
      <c r="A143" s="124"/>
      <c r="B143" s="124"/>
      <c r="C143" s="124"/>
      <c r="D143" s="116"/>
      <c r="E143" s="120"/>
      <c r="F143" s="126"/>
      <c r="G143" s="117"/>
      <c r="H143" s="181"/>
      <c r="I143" s="182"/>
      <c r="J143" s="152"/>
      <c r="K143" s="152"/>
      <c r="L143" s="118"/>
      <c r="M143" s="169"/>
      <c r="N143" s="151"/>
      <c r="O143" s="114"/>
      <c r="P143" s="115"/>
    </row>
    <row r="144" spans="1:16" ht="15.95" customHeight="1">
      <c r="A144" s="124">
        <v>67</v>
      </c>
      <c r="B144" s="124"/>
      <c r="C144" s="124">
        <v>3</v>
      </c>
      <c r="D144" s="116" t="s">
        <v>124</v>
      </c>
      <c r="E144" s="120">
        <v>318</v>
      </c>
      <c r="F144" s="126">
        <v>72.650000000000006</v>
      </c>
      <c r="G144" s="117">
        <v>5.7</v>
      </c>
      <c r="H144" s="181">
        <v>0</v>
      </c>
      <c r="I144" s="182"/>
      <c r="J144" s="152">
        <f>K144-(F144+G144+H144)</f>
        <v>8.4399999999999977</v>
      </c>
      <c r="K144" s="162">
        <v>86.79</v>
      </c>
      <c r="L144" s="118">
        <f>M144-K144</f>
        <v>32.217803790412489</v>
      </c>
      <c r="M144" s="169">
        <f>1281/10.764</f>
        <v>119.0078037904125</v>
      </c>
      <c r="N144" s="151">
        <f>M144*I248</f>
        <v>41.237812399442234</v>
      </c>
      <c r="O144" s="114">
        <v>1</v>
      </c>
      <c r="P144" s="115"/>
    </row>
    <row r="145" spans="1:16" ht="18" customHeight="1">
      <c r="A145" s="123"/>
      <c r="B145" s="123"/>
      <c r="C145" s="123"/>
      <c r="D145" s="116"/>
      <c r="E145" s="120"/>
      <c r="F145" s="126"/>
      <c r="G145" s="117"/>
      <c r="H145" s="181"/>
      <c r="I145" s="182"/>
      <c r="J145" s="152"/>
      <c r="K145" s="152"/>
      <c r="L145" s="118"/>
      <c r="M145" s="169"/>
      <c r="N145" s="151"/>
      <c r="O145" s="114"/>
      <c r="P145" s="115"/>
    </row>
    <row r="146" spans="1:16" ht="28.5" customHeight="1">
      <c r="A146" s="123"/>
      <c r="B146" s="123" t="s">
        <v>129</v>
      </c>
      <c r="C146" s="123"/>
      <c r="D146" s="116"/>
      <c r="E146" s="120"/>
      <c r="F146" s="126"/>
      <c r="G146" s="117"/>
      <c r="H146" s="181"/>
      <c r="I146" s="182"/>
      <c r="J146" s="152"/>
      <c r="K146" s="152"/>
      <c r="L146" s="118"/>
      <c r="M146" s="169"/>
      <c r="N146" s="151"/>
      <c r="O146" s="114"/>
      <c r="P146" s="115"/>
    </row>
    <row r="147" spans="1:16" ht="15.95" customHeight="1">
      <c r="A147" s="124">
        <v>68</v>
      </c>
      <c r="B147" s="124"/>
      <c r="C147" s="124">
        <v>4</v>
      </c>
      <c r="D147" s="116" t="s">
        <v>127</v>
      </c>
      <c r="E147" s="120">
        <v>401</v>
      </c>
      <c r="F147" s="126">
        <v>40.49</v>
      </c>
      <c r="G147" s="117">
        <v>0</v>
      </c>
      <c r="H147" s="181">
        <v>0</v>
      </c>
      <c r="I147" s="182"/>
      <c r="J147" s="152">
        <f>K147-(F147+G147+H147)</f>
        <v>4.8299999999999983</v>
      </c>
      <c r="K147" s="162">
        <v>45.32</v>
      </c>
      <c r="L147" s="118">
        <f>M147-K147</f>
        <v>16.738714232627281</v>
      </c>
      <c r="M147" s="169">
        <f>668/10.764</f>
        <v>62.058714232627281</v>
      </c>
      <c r="N147" s="151">
        <f>M147*I248</f>
        <v>21.504183202831701</v>
      </c>
      <c r="O147" s="114">
        <v>0</v>
      </c>
      <c r="P147" s="115"/>
    </row>
    <row r="148" spans="1:16" ht="15.75" customHeight="1">
      <c r="A148" s="124"/>
      <c r="B148" s="124"/>
      <c r="C148" s="124"/>
      <c r="D148" s="116"/>
      <c r="E148" s="120"/>
      <c r="F148" s="126"/>
      <c r="G148" s="117"/>
      <c r="H148" s="181"/>
      <c r="I148" s="182"/>
      <c r="J148" s="152"/>
      <c r="K148" s="152"/>
      <c r="L148" s="118"/>
      <c r="M148" s="169"/>
      <c r="N148" s="151"/>
      <c r="O148" s="114"/>
      <c r="P148" s="115"/>
    </row>
    <row r="149" spans="1:16" ht="15.95" customHeight="1">
      <c r="A149" s="124">
        <v>69</v>
      </c>
      <c r="B149" s="124"/>
      <c r="C149" s="124">
        <v>4</v>
      </c>
      <c r="D149" s="116" t="s">
        <v>127</v>
      </c>
      <c r="E149" s="120">
        <v>402</v>
      </c>
      <c r="F149" s="126">
        <v>38.92</v>
      </c>
      <c r="G149" s="117">
        <v>0</v>
      </c>
      <c r="H149" s="181">
        <v>1.52</v>
      </c>
      <c r="I149" s="182"/>
      <c r="J149" s="152">
        <f>K149-(F149+G149+H149)</f>
        <v>5.7099999999999937</v>
      </c>
      <c r="K149" s="162">
        <v>46.15</v>
      </c>
      <c r="L149" s="118">
        <f>M149-K149</f>
        <v>17.116443701226316</v>
      </c>
      <c r="M149" s="169">
        <f>681/10.764</f>
        <v>63.266443701226315</v>
      </c>
      <c r="N149" s="151">
        <f>M149*I248</f>
        <v>21.922677786120342</v>
      </c>
      <c r="O149" s="114">
        <v>0</v>
      </c>
      <c r="P149" s="111"/>
    </row>
    <row r="150" spans="1:16" ht="15" customHeight="1">
      <c r="A150" s="124"/>
      <c r="B150" s="124"/>
      <c r="C150" s="124"/>
      <c r="D150" s="116"/>
      <c r="E150" s="120"/>
      <c r="F150" s="126"/>
      <c r="G150" s="117"/>
      <c r="H150" s="181"/>
      <c r="I150" s="182"/>
      <c r="J150" s="152"/>
      <c r="K150" s="152"/>
      <c r="L150" s="118"/>
      <c r="M150" s="169"/>
      <c r="N150" s="151"/>
      <c r="O150" s="114"/>
      <c r="P150" s="115"/>
    </row>
    <row r="151" spans="1:16" ht="15.95" customHeight="1">
      <c r="A151" s="124">
        <v>70</v>
      </c>
      <c r="B151" s="124"/>
      <c r="C151" s="124">
        <v>4</v>
      </c>
      <c r="D151" s="116" t="s">
        <v>127</v>
      </c>
      <c r="E151" s="120">
        <v>403</v>
      </c>
      <c r="F151" s="126">
        <v>41.72</v>
      </c>
      <c r="G151" s="117">
        <v>2.19</v>
      </c>
      <c r="H151" s="181">
        <v>0</v>
      </c>
      <c r="I151" s="182"/>
      <c r="J151" s="152">
        <f>K151-(F151+G151+H151)</f>
        <v>8.0600000000000023</v>
      </c>
      <c r="K151" s="162">
        <v>51.97</v>
      </c>
      <c r="L151" s="118">
        <f>M151-K151</f>
        <v>18.078309178743964</v>
      </c>
      <c r="M151" s="169">
        <f>754/10.764</f>
        <v>70.048309178743963</v>
      </c>
      <c r="N151" s="151">
        <f>M151*I248</f>
        <v>24.272685830741171</v>
      </c>
      <c r="O151" s="114">
        <v>0</v>
      </c>
      <c r="P151" s="115"/>
    </row>
    <row r="152" spans="1:16" ht="15.95" customHeight="1">
      <c r="A152" s="124"/>
      <c r="B152" s="124"/>
      <c r="C152" s="124"/>
      <c r="D152" s="116"/>
      <c r="E152" s="120"/>
      <c r="F152" s="126"/>
      <c r="G152" s="117"/>
      <c r="H152" s="181"/>
      <c r="I152" s="182"/>
      <c r="J152" s="152"/>
      <c r="K152" s="152"/>
      <c r="L152" s="118"/>
      <c r="M152" s="169"/>
      <c r="N152" s="151"/>
      <c r="O152" s="114"/>
      <c r="P152" s="115"/>
    </row>
    <row r="153" spans="1:16" ht="17.25" customHeight="1">
      <c r="A153" s="124">
        <v>71</v>
      </c>
      <c r="B153" s="124"/>
      <c r="C153" s="124">
        <v>4</v>
      </c>
      <c r="D153" s="116" t="s">
        <v>127</v>
      </c>
      <c r="E153" s="120">
        <v>404</v>
      </c>
      <c r="F153" s="126">
        <v>38.36</v>
      </c>
      <c r="G153" s="117">
        <v>0</v>
      </c>
      <c r="H153" s="181">
        <v>0</v>
      </c>
      <c r="I153" s="182"/>
      <c r="J153" s="152">
        <f>K153-(F153+G153+H153)</f>
        <v>4.759999999999998</v>
      </c>
      <c r="K153" s="162">
        <v>43.12</v>
      </c>
      <c r="L153" s="118">
        <f>M153-K153</f>
        <v>16.801962095875147</v>
      </c>
      <c r="M153" s="169">
        <f>645/10.764</f>
        <v>59.921962095875145</v>
      </c>
      <c r="N153" s="151">
        <f>M153*I248</f>
        <v>20.763769709321032</v>
      </c>
      <c r="O153" s="114">
        <v>0</v>
      </c>
      <c r="P153" s="115"/>
    </row>
    <row r="154" spans="1:16" ht="15.95" customHeight="1">
      <c r="A154" s="124"/>
      <c r="B154" s="124"/>
      <c r="C154" s="124"/>
      <c r="D154" s="116"/>
      <c r="E154" s="120"/>
      <c r="F154" s="126"/>
      <c r="G154" s="117"/>
      <c r="H154" s="181"/>
      <c r="I154" s="182"/>
      <c r="J154" s="152"/>
      <c r="K154" s="152"/>
      <c r="L154" s="118"/>
      <c r="M154" s="169"/>
      <c r="N154" s="151"/>
      <c r="O154" s="114"/>
      <c r="P154" s="115"/>
    </row>
    <row r="155" spans="1:16" ht="15" customHeight="1">
      <c r="A155" s="124">
        <v>72</v>
      </c>
      <c r="B155" s="124"/>
      <c r="C155" s="124">
        <v>4</v>
      </c>
      <c r="D155" s="116" t="s">
        <v>127</v>
      </c>
      <c r="E155" s="120">
        <v>405</v>
      </c>
      <c r="F155" s="126">
        <v>41.4</v>
      </c>
      <c r="G155" s="117">
        <v>0</v>
      </c>
      <c r="H155" s="181">
        <v>2.17</v>
      </c>
      <c r="I155" s="182"/>
      <c r="J155" s="152">
        <f>K155-(F155+G155+H155)</f>
        <v>5</v>
      </c>
      <c r="K155" s="162">
        <v>48.57</v>
      </c>
      <c r="L155" s="118">
        <f>M155-K155</f>
        <v>17.855120772946869</v>
      </c>
      <c r="M155" s="169">
        <f>715/10.764</f>
        <v>66.425120772946869</v>
      </c>
      <c r="N155" s="151">
        <f>M155*I248</f>
        <v>23.017202080875251</v>
      </c>
      <c r="O155" s="114">
        <v>0</v>
      </c>
      <c r="P155" s="115"/>
    </row>
    <row r="156" spans="1:16" ht="16.5" customHeight="1">
      <c r="A156" s="124"/>
      <c r="B156" s="124"/>
      <c r="C156" s="124"/>
      <c r="D156" s="116"/>
      <c r="E156" s="120"/>
      <c r="F156" s="126"/>
      <c r="G156" s="117"/>
      <c r="H156" s="151"/>
      <c r="I156" s="152"/>
      <c r="J156" s="152"/>
      <c r="K156" s="152"/>
      <c r="L156" s="118"/>
      <c r="M156" s="169"/>
      <c r="N156" s="151"/>
      <c r="O156" s="114"/>
      <c r="P156" s="115"/>
    </row>
    <row r="157" spans="1:16" ht="26.25" customHeight="1">
      <c r="A157" s="123"/>
      <c r="B157" s="123" t="s">
        <v>130</v>
      </c>
      <c r="C157" s="123"/>
      <c r="D157" s="107"/>
      <c r="E157" s="121"/>
      <c r="F157" s="125"/>
      <c r="G157" s="108"/>
      <c r="H157" s="183"/>
      <c r="I157" s="184"/>
      <c r="J157" s="153"/>
      <c r="K157" s="153"/>
      <c r="L157" s="109"/>
      <c r="M157" s="170"/>
      <c r="N157" s="119"/>
      <c r="O157" s="113"/>
      <c r="P157" s="111"/>
    </row>
    <row r="158" spans="1:16" ht="15.95" customHeight="1">
      <c r="A158" s="124">
        <v>73</v>
      </c>
      <c r="B158" s="124"/>
      <c r="C158" s="124">
        <v>4</v>
      </c>
      <c r="D158" s="116" t="s">
        <v>127</v>
      </c>
      <c r="E158" s="120">
        <v>401</v>
      </c>
      <c r="F158" s="126">
        <v>57.56</v>
      </c>
      <c r="G158" s="117">
        <v>0</v>
      </c>
      <c r="H158" s="181">
        <v>0</v>
      </c>
      <c r="I158" s="182"/>
      <c r="J158" s="152">
        <f>K158-(F158+G158+H158)</f>
        <v>6.1699999999999946</v>
      </c>
      <c r="K158" s="162">
        <v>63.73</v>
      </c>
      <c r="L158" s="118">
        <f>M158-K158</f>
        <v>24.062642140468235</v>
      </c>
      <c r="M158" s="169">
        <f>945/10.764</f>
        <v>87.792642140468232</v>
      </c>
      <c r="N158" s="151">
        <f>M158*I248</f>
        <v>30.421337015981972</v>
      </c>
      <c r="O158" s="114">
        <v>0</v>
      </c>
      <c r="P158" s="115"/>
    </row>
    <row r="159" spans="1:16" ht="18.75" customHeight="1">
      <c r="A159" s="124"/>
      <c r="B159" s="124"/>
      <c r="C159" s="124"/>
      <c r="D159" s="116"/>
      <c r="E159" s="120"/>
      <c r="F159" s="126"/>
      <c r="G159" s="117"/>
      <c r="H159" s="181"/>
      <c r="I159" s="182"/>
      <c r="J159" s="152"/>
      <c r="K159" s="152"/>
      <c r="L159" s="118"/>
      <c r="M159" s="169"/>
      <c r="N159" s="151"/>
      <c r="O159" s="114"/>
      <c r="P159" s="115"/>
    </row>
    <row r="160" spans="1:16" ht="15.95" customHeight="1">
      <c r="A160" s="124">
        <v>74</v>
      </c>
      <c r="B160" s="124"/>
      <c r="C160" s="124">
        <v>4</v>
      </c>
      <c r="D160" s="116" t="s">
        <v>127</v>
      </c>
      <c r="E160" s="120">
        <v>402</v>
      </c>
      <c r="F160" s="126">
        <v>54.43</v>
      </c>
      <c r="G160" s="117">
        <v>5.95</v>
      </c>
      <c r="H160" s="181">
        <v>0</v>
      </c>
      <c r="I160" s="182"/>
      <c r="J160" s="152">
        <f>K160-(F160+G160+H160)</f>
        <v>8.2100000000000009</v>
      </c>
      <c r="K160" s="162">
        <v>68.59</v>
      </c>
      <c r="L160" s="118">
        <f>M160-K160</f>
        <v>25.427094017094021</v>
      </c>
      <c r="M160" s="169">
        <f>1012/10.764</f>
        <v>94.017094017094024</v>
      </c>
      <c r="N160" s="151">
        <f>M160*I248</f>
        <v>32.578193714469585</v>
      </c>
      <c r="O160" s="114">
        <v>0</v>
      </c>
      <c r="P160" s="115"/>
    </row>
    <row r="161" spans="1:16" ht="18" customHeight="1">
      <c r="A161" s="124"/>
      <c r="B161" s="124"/>
      <c r="C161" s="124"/>
      <c r="D161" s="116"/>
      <c r="E161" s="120"/>
      <c r="F161" s="126"/>
      <c r="G161" s="117"/>
      <c r="H161" s="181"/>
      <c r="I161" s="182"/>
      <c r="J161" s="152"/>
      <c r="K161" s="152"/>
      <c r="L161" s="118"/>
      <c r="M161" s="169"/>
      <c r="N161" s="151"/>
      <c r="O161" s="114"/>
      <c r="P161" s="115"/>
    </row>
    <row r="162" spans="1:16" ht="15.95" customHeight="1">
      <c r="A162" s="124">
        <v>75</v>
      </c>
      <c r="B162" s="124"/>
      <c r="C162" s="124">
        <v>4</v>
      </c>
      <c r="D162" s="116" t="s">
        <v>127</v>
      </c>
      <c r="E162" s="120">
        <v>403</v>
      </c>
      <c r="F162" s="126">
        <v>43.53</v>
      </c>
      <c r="G162" s="117">
        <v>2.91</v>
      </c>
      <c r="H162" s="181">
        <v>0</v>
      </c>
      <c r="I162" s="182"/>
      <c r="J162" s="152">
        <f>K162-(F162+G162+H162)</f>
        <v>6.7000000000000028</v>
      </c>
      <c r="K162" s="162">
        <v>53.14</v>
      </c>
      <c r="L162" s="118">
        <f>M162-K162</f>
        <v>19.788279450018578</v>
      </c>
      <c r="M162" s="169">
        <f>785/10.764</f>
        <v>72.928279450018579</v>
      </c>
      <c r="N162" s="151">
        <f>M162*I248</f>
        <v>25.270634452429469</v>
      </c>
      <c r="O162" s="114">
        <v>0</v>
      </c>
      <c r="P162" s="115"/>
    </row>
    <row r="163" spans="1:16" ht="15" customHeight="1">
      <c r="A163" s="124"/>
      <c r="B163" s="124"/>
      <c r="C163" s="124"/>
      <c r="D163" s="116"/>
      <c r="E163" s="120"/>
      <c r="F163" s="126"/>
      <c r="G163" s="117"/>
      <c r="H163" s="181"/>
      <c r="I163" s="182"/>
      <c r="J163" s="152"/>
      <c r="K163" s="152"/>
      <c r="L163" s="118"/>
      <c r="M163" s="169"/>
      <c r="N163" s="151"/>
      <c r="O163" s="114"/>
      <c r="P163" s="115"/>
    </row>
    <row r="164" spans="1:16" ht="15.95" customHeight="1">
      <c r="A164" s="124">
        <v>76</v>
      </c>
      <c r="B164" s="124"/>
      <c r="C164" s="124">
        <v>4</v>
      </c>
      <c r="D164" s="116" t="s">
        <v>124</v>
      </c>
      <c r="E164" s="120">
        <v>404</v>
      </c>
      <c r="F164" s="126">
        <v>68.67</v>
      </c>
      <c r="G164" s="117">
        <v>5.76</v>
      </c>
      <c r="H164" s="181">
        <v>0</v>
      </c>
      <c r="I164" s="182"/>
      <c r="J164" s="152">
        <f>K164-(F164+G164+H164)</f>
        <v>9.25</v>
      </c>
      <c r="K164" s="162">
        <v>83.68</v>
      </c>
      <c r="L164" s="118">
        <f>M164-K164</f>
        <v>30.589788182831654</v>
      </c>
      <c r="M164" s="169">
        <f>1230/10.764</f>
        <v>114.26978818283166</v>
      </c>
      <c r="N164" s="151">
        <f>M164*I248</f>
        <v>39.59602595730987</v>
      </c>
      <c r="O164" s="114">
        <v>1</v>
      </c>
      <c r="P164" s="115"/>
    </row>
    <row r="165" spans="1:16" ht="18" customHeight="1">
      <c r="A165" s="124"/>
      <c r="B165" s="124"/>
      <c r="C165" s="124"/>
      <c r="D165" s="116"/>
      <c r="E165" s="120"/>
      <c r="F165" s="126"/>
      <c r="G165" s="117"/>
      <c r="H165" s="181"/>
      <c r="I165" s="182"/>
      <c r="J165" s="152"/>
      <c r="K165" s="152"/>
      <c r="L165" s="118"/>
      <c r="M165" s="169"/>
      <c r="N165" s="151"/>
      <c r="O165" s="114"/>
      <c r="P165" s="115"/>
    </row>
    <row r="166" spans="1:16" ht="15.95" customHeight="1">
      <c r="A166" s="124">
        <v>77</v>
      </c>
      <c r="B166" s="124"/>
      <c r="C166" s="124">
        <v>4</v>
      </c>
      <c r="D166" s="116" t="s">
        <v>127</v>
      </c>
      <c r="E166" s="120">
        <v>405</v>
      </c>
      <c r="F166" s="126">
        <v>53.47</v>
      </c>
      <c r="G166" s="117">
        <v>7.57</v>
      </c>
      <c r="H166" s="181">
        <v>0</v>
      </c>
      <c r="I166" s="182"/>
      <c r="J166" s="152">
        <f>K166-(F166+G166+H166)</f>
        <v>7.8500000000000014</v>
      </c>
      <c r="K166" s="162">
        <v>68.89</v>
      </c>
      <c r="L166" s="118">
        <f>M166-K166</f>
        <v>24.941289483463407</v>
      </c>
      <c r="M166" s="169">
        <f>1010/10.764</f>
        <v>93.831289483463408</v>
      </c>
      <c r="N166" s="151">
        <f>M166*I248</f>
        <v>32.513809932425183</v>
      </c>
      <c r="O166" s="114">
        <v>0</v>
      </c>
      <c r="P166" s="115"/>
    </row>
    <row r="167" spans="1:16" ht="15.75" customHeight="1">
      <c r="A167" s="124"/>
      <c r="B167" s="124"/>
      <c r="C167" s="124"/>
      <c r="D167" s="116"/>
      <c r="E167" s="120"/>
      <c r="F167" s="126"/>
      <c r="G167" s="117"/>
      <c r="H167" s="181"/>
      <c r="I167" s="182"/>
      <c r="J167" s="152"/>
      <c r="K167" s="152"/>
      <c r="L167" s="118"/>
      <c r="M167" s="169"/>
      <c r="N167" s="151"/>
      <c r="O167" s="114"/>
      <c r="P167" s="115"/>
    </row>
    <row r="168" spans="1:16" ht="15.95" customHeight="1">
      <c r="A168" s="124">
        <v>78</v>
      </c>
      <c r="B168" s="124"/>
      <c r="C168" s="124">
        <v>4</v>
      </c>
      <c r="D168" s="116" t="s">
        <v>127</v>
      </c>
      <c r="E168" s="120">
        <v>406</v>
      </c>
      <c r="F168" s="126">
        <v>60.34</v>
      </c>
      <c r="G168" s="117">
        <v>4.57</v>
      </c>
      <c r="H168" s="181">
        <v>0</v>
      </c>
      <c r="I168" s="182"/>
      <c r="J168" s="152">
        <f>K168-(F168+G168+H168)</f>
        <v>9.3800000000000097</v>
      </c>
      <c r="K168" s="162">
        <v>74.290000000000006</v>
      </c>
      <c r="L168" s="118">
        <f>M168-K168</f>
        <v>27.437982162764769</v>
      </c>
      <c r="M168" s="169">
        <f>1095/10.764</f>
        <v>101.72798216276477</v>
      </c>
      <c r="N168" s="151">
        <f>M168*I248</f>
        <v>35.250120669312444</v>
      </c>
      <c r="O168" s="114">
        <v>0</v>
      </c>
      <c r="P168" s="115"/>
    </row>
    <row r="169" spans="1:16" ht="20.25" customHeight="1">
      <c r="A169" s="124"/>
      <c r="B169" s="124"/>
      <c r="C169" s="124"/>
      <c r="D169" s="116"/>
      <c r="E169" s="120"/>
      <c r="F169" s="126"/>
      <c r="G169" s="117"/>
      <c r="H169" s="181"/>
      <c r="I169" s="182"/>
      <c r="J169" s="152"/>
      <c r="K169" s="152"/>
      <c r="L169" s="118"/>
      <c r="M169" s="169"/>
      <c r="N169" s="151"/>
      <c r="O169" s="114"/>
      <c r="P169" s="115"/>
    </row>
    <row r="170" spans="1:16" ht="15.95" customHeight="1">
      <c r="A170" s="124">
        <v>79</v>
      </c>
      <c r="B170" s="124"/>
      <c r="C170" s="124">
        <v>4</v>
      </c>
      <c r="D170" s="116" t="s">
        <v>124</v>
      </c>
      <c r="E170" s="120">
        <v>407</v>
      </c>
      <c r="F170" s="126">
        <v>79.459999999999994</v>
      </c>
      <c r="G170" s="117">
        <v>5.52</v>
      </c>
      <c r="H170" s="181">
        <v>0</v>
      </c>
      <c r="I170" s="182"/>
      <c r="J170" s="152">
        <f>K170-(F170+G170+H170)</f>
        <v>9.1300000000000097</v>
      </c>
      <c r="K170" s="162">
        <v>94.11</v>
      </c>
      <c r="L170" s="118">
        <f>M170-K170</f>
        <v>31.40096246748422</v>
      </c>
      <c r="M170" s="169">
        <f>1351/10.764</f>
        <v>125.51096246748422</v>
      </c>
      <c r="N170" s="151">
        <f>M170*I248</f>
        <v>43.491244770996452</v>
      </c>
      <c r="O170" s="114">
        <v>1</v>
      </c>
      <c r="P170" s="115"/>
    </row>
    <row r="171" spans="1:16" ht="15" customHeight="1">
      <c r="A171" s="124"/>
      <c r="B171" s="124"/>
      <c r="C171" s="124"/>
      <c r="D171" s="116"/>
      <c r="E171" s="120"/>
      <c r="F171" s="126"/>
      <c r="G171" s="117"/>
      <c r="H171" s="181"/>
      <c r="I171" s="182"/>
      <c r="J171" s="152"/>
      <c r="K171" s="152"/>
      <c r="L171" s="118"/>
      <c r="M171" s="169"/>
      <c r="N171" s="151"/>
      <c r="O171" s="114"/>
      <c r="P171" s="115"/>
    </row>
    <row r="172" spans="1:16" ht="15.95" customHeight="1">
      <c r="A172" s="124">
        <v>80</v>
      </c>
      <c r="B172" s="124"/>
      <c r="C172" s="124">
        <v>4</v>
      </c>
      <c r="D172" s="116" t="s">
        <v>124</v>
      </c>
      <c r="E172" s="120">
        <v>408</v>
      </c>
      <c r="F172" s="126">
        <v>76.22</v>
      </c>
      <c r="G172" s="117">
        <v>7.26</v>
      </c>
      <c r="H172" s="181">
        <v>0</v>
      </c>
      <c r="I172" s="182"/>
      <c r="J172" s="152">
        <f>K172-(F172+G172+H172)</f>
        <v>9.6599999999999966</v>
      </c>
      <c r="K172" s="162">
        <v>93.14</v>
      </c>
      <c r="L172" s="118">
        <f>M172-K172</f>
        <v>34.507714604236355</v>
      </c>
      <c r="M172" s="169">
        <f>1374/10.764</f>
        <v>127.64771460423636</v>
      </c>
      <c r="N172" s="151">
        <f>M172*I248</f>
        <v>44.231658264507125</v>
      </c>
      <c r="O172" s="114">
        <v>1</v>
      </c>
      <c r="P172" s="115"/>
    </row>
    <row r="173" spans="1:16" ht="15" customHeight="1">
      <c r="A173" s="124"/>
      <c r="B173" s="124"/>
      <c r="C173" s="124"/>
      <c r="D173" s="116"/>
      <c r="E173" s="120"/>
      <c r="F173" s="126"/>
      <c r="G173" s="117"/>
      <c r="H173" s="181"/>
      <c r="I173" s="182"/>
      <c r="J173" s="152"/>
      <c r="K173" s="152"/>
      <c r="L173" s="118"/>
      <c r="M173" s="169"/>
      <c r="N173" s="151"/>
      <c r="O173" s="114"/>
      <c r="P173" s="115"/>
    </row>
    <row r="174" spans="1:16" ht="15.95" customHeight="1">
      <c r="A174" s="124">
        <v>81</v>
      </c>
      <c r="B174" s="124"/>
      <c r="C174" s="124">
        <v>4</v>
      </c>
      <c r="D174" s="116" t="s">
        <v>124</v>
      </c>
      <c r="E174" s="120">
        <v>409</v>
      </c>
      <c r="F174" s="126">
        <v>77.239999999999995</v>
      </c>
      <c r="G174" s="117">
        <v>5.18</v>
      </c>
      <c r="H174" s="181">
        <v>0</v>
      </c>
      <c r="I174" s="182"/>
      <c r="J174" s="152">
        <f>K174-(F174+G174+H174)</f>
        <v>9.210000000000008</v>
      </c>
      <c r="K174" s="162">
        <v>91.63</v>
      </c>
      <c r="L174" s="118">
        <f>M174-K174</f>
        <v>33.602255667038293</v>
      </c>
      <c r="M174" s="169">
        <f>1348/10.764</f>
        <v>125.23225566703829</v>
      </c>
      <c r="N174" s="151">
        <f>M174*I248</f>
        <v>43.394669097929842</v>
      </c>
      <c r="O174" s="114">
        <v>1</v>
      </c>
      <c r="P174" s="115"/>
    </row>
    <row r="175" spans="1:16" ht="18.75" customHeight="1">
      <c r="A175" s="124"/>
      <c r="B175" s="124"/>
      <c r="C175" s="124"/>
      <c r="D175" s="116"/>
      <c r="E175" s="120"/>
      <c r="F175" s="126"/>
      <c r="G175" s="117"/>
      <c r="H175" s="181"/>
      <c r="I175" s="182"/>
      <c r="J175" s="152"/>
      <c r="K175" s="152"/>
      <c r="L175" s="118"/>
      <c r="M175" s="169"/>
      <c r="N175" s="151"/>
      <c r="O175" s="114"/>
      <c r="P175" s="115"/>
    </row>
    <row r="176" spans="1:16" ht="15.95" customHeight="1">
      <c r="A176" s="124">
        <v>82</v>
      </c>
      <c r="B176" s="124"/>
      <c r="C176" s="124">
        <v>4</v>
      </c>
      <c r="D176" s="116" t="s">
        <v>127</v>
      </c>
      <c r="E176" s="120">
        <v>410</v>
      </c>
      <c r="F176" s="126">
        <v>53.56</v>
      </c>
      <c r="G176" s="117">
        <v>6.87</v>
      </c>
      <c r="H176" s="181">
        <v>0</v>
      </c>
      <c r="I176" s="182"/>
      <c r="J176" s="152">
        <f>K176-(F176+G176+H176)</f>
        <v>7.7500000000000071</v>
      </c>
      <c r="K176" s="162">
        <v>68.180000000000007</v>
      </c>
      <c r="L176" s="118">
        <f>M176-K176</f>
        <v>24.164853214418429</v>
      </c>
      <c r="M176" s="169">
        <f>994/10.764</f>
        <v>92.344853214418436</v>
      </c>
      <c r="N176" s="151">
        <f>M176*I248</f>
        <v>31.998739676069928</v>
      </c>
      <c r="O176" s="114">
        <v>0</v>
      </c>
      <c r="P176" s="115"/>
    </row>
    <row r="177" spans="1:16" ht="18" customHeight="1">
      <c r="A177" s="124"/>
      <c r="B177" s="124"/>
      <c r="C177" s="124"/>
      <c r="D177" s="116"/>
      <c r="E177" s="120"/>
      <c r="F177" s="126"/>
      <c r="G177" s="117"/>
      <c r="H177" s="181"/>
      <c r="I177" s="182"/>
      <c r="J177" s="152"/>
      <c r="K177" s="152"/>
      <c r="L177" s="118"/>
      <c r="M177" s="169"/>
      <c r="N177" s="151"/>
      <c r="O177" s="114"/>
      <c r="P177" s="115"/>
    </row>
    <row r="178" spans="1:16" ht="15.95" customHeight="1">
      <c r="A178" s="124">
        <v>83</v>
      </c>
      <c r="B178" s="124"/>
      <c r="C178" s="124">
        <v>4</v>
      </c>
      <c r="D178" s="116" t="s">
        <v>128</v>
      </c>
      <c r="E178" s="120">
        <v>411</v>
      </c>
      <c r="F178" s="126">
        <v>28.45</v>
      </c>
      <c r="G178" s="117">
        <v>0</v>
      </c>
      <c r="H178" s="181">
        <v>0</v>
      </c>
      <c r="I178" s="182"/>
      <c r="J178" s="152">
        <f>K178-(F178+G178+H178)</f>
        <v>4.5999999999999979</v>
      </c>
      <c r="K178" s="162">
        <v>33.049999999999997</v>
      </c>
      <c r="L178" s="118">
        <f>M178-K178</f>
        <v>12.286306205871426</v>
      </c>
      <c r="M178" s="169">
        <f>488/10.764</f>
        <v>45.336306205871423</v>
      </c>
      <c r="N178" s="151">
        <f>M178*I248</f>
        <v>15.709642818835135</v>
      </c>
      <c r="O178" s="114">
        <v>0</v>
      </c>
      <c r="P178" s="115"/>
    </row>
    <row r="179" spans="1:16" ht="17.25" customHeight="1">
      <c r="A179" s="124"/>
      <c r="B179" s="124"/>
      <c r="C179" s="124"/>
      <c r="D179" s="116"/>
      <c r="E179" s="120"/>
      <c r="F179" s="126"/>
      <c r="G179" s="117"/>
      <c r="H179" s="181"/>
      <c r="I179" s="182"/>
      <c r="J179" s="152"/>
      <c r="K179" s="152"/>
      <c r="L179" s="118"/>
      <c r="M179" s="169"/>
      <c r="N179" s="151"/>
      <c r="O179" s="114"/>
      <c r="P179" s="115"/>
    </row>
    <row r="180" spans="1:16" ht="15.95" customHeight="1">
      <c r="A180" s="124">
        <v>84</v>
      </c>
      <c r="B180" s="124"/>
      <c r="C180" s="124">
        <v>4</v>
      </c>
      <c r="D180" s="116" t="s">
        <v>127</v>
      </c>
      <c r="E180" s="120">
        <v>412</v>
      </c>
      <c r="F180" s="126">
        <v>55.13</v>
      </c>
      <c r="G180" s="117">
        <v>7.08</v>
      </c>
      <c r="H180" s="181">
        <v>0</v>
      </c>
      <c r="I180" s="182"/>
      <c r="J180" s="152">
        <f>K180-(F180+G180+H180)</f>
        <v>7.6999999999999957</v>
      </c>
      <c r="K180" s="162">
        <v>69.91</v>
      </c>
      <c r="L180" s="118">
        <f>M180-K180</f>
        <v>25.872237086584917</v>
      </c>
      <c r="M180" s="169">
        <f>1031/10.764</f>
        <v>95.782237086584914</v>
      </c>
      <c r="N180" s="151">
        <f>M180*I248</f>
        <v>33.189839643891446</v>
      </c>
      <c r="O180" s="114">
        <v>0</v>
      </c>
      <c r="P180" s="115"/>
    </row>
    <row r="181" spans="1:16" ht="13.5" customHeight="1">
      <c r="A181" s="124"/>
      <c r="B181" s="124"/>
      <c r="C181" s="124"/>
      <c r="D181" s="116"/>
      <c r="E181" s="120"/>
      <c r="F181" s="126"/>
      <c r="G181" s="117"/>
      <c r="H181" s="181"/>
      <c r="I181" s="182"/>
      <c r="J181" s="152"/>
      <c r="K181" s="152"/>
      <c r="L181" s="118"/>
      <c r="M181" s="169"/>
      <c r="N181" s="151"/>
      <c r="O181" s="114"/>
      <c r="P181" s="115"/>
    </row>
    <row r="182" spans="1:16" ht="15.95" customHeight="1">
      <c r="A182" s="124">
        <v>85</v>
      </c>
      <c r="B182" s="124"/>
      <c r="C182" s="124">
        <v>4</v>
      </c>
      <c r="D182" s="116" t="s">
        <v>127</v>
      </c>
      <c r="E182" s="120">
        <v>413</v>
      </c>
      <c r="F182" s="126">
        <v>54.8</v>
      </c>
      <c r="G182" s="117">
        <v>3.87</v>
      </c>
      <c r="H182" s="181">
        <v>3.88</v>
      </c>
      <c r="I182" s="182"/>
      <c r="J182" s="152">
        <f>K182-(F182+G182+H182)</f>
        <v>7.210000000000008</v>
      </c>
      <c r="K182" s="162">
        <v>69.760000000000005</v>
      </c>
      <c r="L182" s="118">
        <f>M182-K182</f>
        <v>26.672552954292087</v>
      </c>
      <c r="M182" s="169">
        <f>1038/10.764</f>
        <v>96.432552954292092</v>
      </c>
      <c r="N182" s="151">
        <f>M182*I248</f>
        <v>33.415182881046867</v>
      </c>
      <c r="O182" s="114">
        <v>0</v>
      </c>
      <c r="P182" s="115"/>
    </row>
    <row r="183" spans="1:16" ht="17.25" customHeight="1">
      <c r="A183" s="124"/>
      <c r="B183" s="124"/>
      <c r="C183" s="124"/>
      <c r="D183" s="116"/>
      <c r="E183" s="120"/>
      <c r="F183" s="126"/>
      <c r="G183" s="117"/>
      <c r="H183" s="181"/>
      <c r="I183" s="182"/>
      <c r="J183" s="152"/>
      <c r="K183" s="152"/>
      <c r="L183" s="118"/>
      <c r="M183" s="169"/>
      <c r="N183" s="151"/>
      <c r="O183" s="114"/>
      <c r="P183" s="115"/>
    </row>
    <row r="184" spans="1:16" ht="15.95" customHeight="1">
      <c r="A184" s="124">
        <v>86</v>
      </c>
      <c r="B184" s="124"/>
      <c r="C184" s="124">
        <v>4</v>
      </c>
      <c r="D184" s="116" t="s">
        <v>127</v>
      </c>
      <c r="E184" s="120">
        <v>414</v>
      </c>
      <c r="F184" s="126">
        <v>57.98</v>
      </c>
      <c r="G184" s="117">
        <v>8.83</v>
      </c>
      <c r="H184" s="181">
        <v>0</v>
      </c>
      <c r="I184" s="182"/>
      <c r="J184" s="152">
        <f>K184-(F184+G184+H184)</f>
        <v>7.3900000000000006</v>
      </c>
      <c r="K184" s="162">
        <v>74.2</v>
      </c>
      <c r="L184" s="118">
        <f>M184-K184</f>
        <v>27.806688963210703</v>
      </c>
      <c r="M184" s="169">
        <f>1098/10.764</f>
        <v>102.00668896321071</v>
      </c>
      <c r="N184" s="151">
        <f>M184*I248</f>
        <v>35.346696342379055</v>
      </c>
      <c r="O184" s="114">
        <v>0</v>
      </c>
      <c r="P184" s="115"/>
    </row>
    <row r="185" spans="1:16" ht="18" customHeight="1">
      <c r="A185" s="124"/>
      <c r="B185" s="124"/>
      <c r="C185" s="124"/>
      <c r="D185" s="116"/>
      <c r="E185" s="120"/>
      <c r="F185" s="126"/>
      <c r="G185" s="117"/>
      <c r="H185" s="181"/>
      <c r="I185" s="182"/>
      <c r="J185" s="152"/>
      <c r="K185" s="152"/>
      <c r="L185" s="118"/>
      <c r="M185" s="169"/>
      <c r="N185" s="151"/>
      <c r="O185" s="114"/>
      <c r="P185" s="115"/>
    </row>
    <row r="186" spans="1:16" ht="15.95" customHeight="1">
      <c r="A186" s="124">
        <v>87</v>
      </c>
      <c r="B186" s="124"/>
      <c r="C186" s="124">
        <v>4</v>
      </c>
      <c r="D186" s="116" t="s">
        <v>127</v>
      </c>
      <c r="E186" s="120">
        <v>415</v>
      </c>
      <c r="F186" s="126">
        <v>58.39</v>
      </c>
      <c r="G186" s="117">
        <v>3.46</v>
      </c>
      <c r="H186" s="181">
        <v>0</v>
      </c>
      <c r="I186" s="182"/>
      <c r="J186" s="152">
        <f>K186-(F186+G186+H186)</f>
        <v>7.3399999999999963</v>
      </c>
      <c r="K186" s="162">
        <v>69.19</v>
      </c>
      <c r="L186" s="118">
        <f>M186-K186</f>
        <v>25.570312151616506</v>
      </c>
      <c r="M186" s="169">
        <f>1020/10.764</f>
        <v>94.760312151616503</v>
      </c>
      <c r="N186" s="151">
        <f>M186*I248</f>
        <v>32.835728842647207</v>
      </c>
      <c r="O186" s="114">
        <v>0</v>
      </c>
      <c r="P186" s="115"/>
    </row>
    <row r="187" spans="1:16" ht="16.5" customHeight="1">
      <c r="A187" s="124"/>
      <c r="B187" s="124"/>
      <c r="C187" s="124"/>
      <c r="D187" s="116"/>
      <c r="E187" s="120"/>
      <c r="F187" s="126"/>
      <c r="G187" s="117"/>
      <c r="H187" s="181"/>
      <c r="I187" s="182"/>
      <c r="J187" s="152"/>
      <c r="K187" s="152"/>
      <c r="L187" s="118"/>
      <c r="M187" s="169"/>
      <c r="N187" s="151"/>
      <c r="O187" s="114"/>
      <c r="P187" s="115"/>
    </row>
    <row r="188" spans="1:16" ht="15.95" customHeight="1">
      <c r="A188" s="124">
        <v>88</v>
      </c>
      <c r="B188" s="124"/>
      <c r="C188" s="124">
        <v>4</v>
      </c>
      <c r="D188" s="116" t="s">
        <v>127</v>
      </c>
      <c r="E188" s="120">
        <v>416</v>
      </c>
      <c r="F188" s="126">
        <v>53.31</v>
      </c>
      <c r="G188" s="117">
        <v>4.78</v>
      </c>
      <c r="H188" s="181">
        <v>0</v>
      </c>
      <c r="I188" s="182"/>
      <c r="J188" s="152">
        <f>K188-(F188+G188+H188)</f>
        <v>7.1899999999999977</v>
      </c>
      <c r="K188" s="162">
        <v>65.28</v>
      </c>
      <c r="L188" s="118">
        <f>M188-K188</f>
        <v>24.091980676328504</v>
      </c>
      <c r="M188" s="169">
        <f>962/10.764</f>
        <v>89.371980676328505</v>
      </c>
      <c r="N188" s="151">
        <f>M188*I248</f>
        <v>30.968599163359425</v>
      </c>
      <c r="O188" s="114">
        <v>0</v>
      </c>
      <c r="P188" s="115"/>
    </row>
    <row r="189" spans="1:16" ht="15" customHeight="1">
      <c r="A189" s="124"/>
      <c r="B189" s="124"/>
      <c r="C189" s="124"/>
      <c r="D189" s="116"/>
      <c r="E189" s="120"/>
      <c r="F189" s="126"/>
      <c r="G189" s="117"/>
      <c r="H189" s="181"/>
      <c r="I189" s="182"/>
      <c r="J189" s="152"/>
      <c r="K189" s="152"/>
      <c r="L189" s="118"/>
      <c r="M189" s="169"/>
      <c r="N189" s="151"/>
      <c r="O189" s="114"/>
      <c r="P189" s="115"/>
    </row>
    <row r="190" spans="1:16" ht="15.95" customHeight="1">
      <c r="A190" s="124">
        <v>89</v>
      </c>
      <c r="B190" s="124"/>
      <c r="C190" s="124">
        <v>4</v>
      </c>
      <c r="D190" s="116" t="s">
        <v>124</v>
      </c>
      <c r="E190" s="120">
        <v>417</v>
      </c>
      <c r="F190" s="126">
        <v>73.900000000000006</v>
      </c>
      <c r="G190" s="117">
        <v>5.52</v>
      </c>
      <c r="H190" s="181">
        <v>3</v>
      </c>
      <c r="I190" s="182"/>
      <c r="J190" s="152">
        <f>K190-(F190+G190+H190)</f>
        <v>9.7600000000000051</v>
      </c>
      <c r="K190" s="162">
        <v>92.18</v>
      </c>
      <c r="L190" s="118">
        <f>M190-K190</f>
        <v>33.981278335191377</v>
      </c>
      <c r="M190" s="169">
        <f>1358/10.764</f>
        <v>126.16127833519138</v>
      </c>
      <c r="N190" s="151">
        <f>M190*I248</f>
        <v>43.716588008151874</v>
      </c>
      <c r="O190" s="114">
        <v>1</v>
      </c>
      <c r="P190" s="115"/>
    </row>
    <row r="191" spans="1:16" ht="19.5" customHeight="1">
      <c r="A191" s="124"/>
      <c r="B191" s="124"/>
      <c r="C191" s="124"/>
      <c r="D191" s="116"/>
      <c r="E191" s="120"/>
      <c r="F191" s="126"/>
      <c r="G191" s="117"/>
      <c r="H191" s="181"/>
      <c r="I191" s="182"/>
      <c r="J191" s="152"/>
      <c r="K191" s="152"/>
      <c r="L191" s="118"/>
      <c r="M191" s="169"/>
      <c r="N191" s="151"/>
      <c r="O191" s="114"/>
      <c r="P191" s="115"/>
    </row>
    <row r="192" spans="1:16" ht="15.95" customHeight="1">
      <c r="A192" s="124">
        <v>90</v>
      </c>
      <c r="B192" s="124"/>
      <c r="C192" s="124">
        <v>4</v>
      </c>
      <c r="D192" s="116" t="s">
        <v>124</v>
      </c>
      <c r="E192" s="120">
        <v>418</v>
      </c>
      <c r="F192" s="126">
        <v>72.650000000000006</v>
      </c>
      <c r="G192" s="117">
        <v>5.7</v>
      </c>
      <c r="H192" s="181">
        <v>0</v>
      </c>
      <c r="I192" s="182"/>
      <c r="J192" s="152">
        <f>K192-(F192+G192+H192)</f>
        <v>8.4399999999999977</v>
      </c>
      <c r="K192" s="162">
        <v>86.79</v>
      </c>
      <c r="L192" s="118">
        <f>M192-K192</f>
        <v>32.217803790412489</v>
      </c>
      <c r="M192" s="169">
        <f>1281/10.764</f>
        <v>119.0078037904125</v>
      </c>
      <c r="N192" s="151">
        <f>M192*I248</f>
        <v>41.237812399442234</v>
      </c>
      <c r="O192" s="114">
        <v>1</v>
      </c>
      <c r="P192" s="115"/>
    </row>
    <row r="193" spans="1:16" ht="15.95" customHeight="1">
      <c r="A193" s="124"/>
      <c r="B193" s="124"/>
      <c r="C193" s="124"/>
      <c r="D193" s="116"/>
      <c r="E193" s="120"/>
      <c r="F193" s="126"/>
      <c r="G193" s="117"/>
      <c r="H193" s="151"/>
      <c r="I193" s="152"/>
      <c r="J193" s="152"/>
      <c r="K193" s="152"/>
      <c r="L193" s="118"/>
      <c r="M193" s="169"/>
      <c r="N193" s="151"/>
      <c r="O193" s="114"/>
      <c r="P193" s="115"/>
    </row>
    <row r="194" spans="1:16" ht="21.75" customHeight="1">
      <c r="A194" s="123"/>
      <c r="B194" s="123" t="s">
        <v>129</v>
      </c>
      <c r="C194" s="123"/>
      <c r="D194" s="116"/>
      <c r="E194" s="120"/>
      <c r="F194" s="126"/>
      <c r="G194" s="117"/>
      <c r="H194" s="181"/>
      <c r="I194" s="182"/>
      <c r="J194" s="152"/>
      <c r="K194" s="152"/>
      <c r="L194" s="118"/>
      <c r="M194" s="169"/>
      <c r="N194" s="151"/>
      <c r="O194" s="114"/>
      <c r="P194" s="115"/>
    </row>
    <row r="195" spans="1:16" ht="20.25" customHeight="1">
      <c r="A195" s="124">
        <v>91</v>
      </c>
      <c r="B195" s="124"/>
      <c r="C195" s="124">
        <v>5</v>
      </c>
      <c r="D195" s="116" t="s">
        <v>127</v>
      </c>
      <c r="E195" s="120">
        <v>501</v>
      </c>
      <c r="F195" s="126">
        <v>40.49</v>
      </c>
      <c r="G195" s="117">
        <v>0</v>
      </c>
      <c r="H195" s="181">
        <v>0</v>
      </c>
      <c r="I195" s="182"/>
      <c r="J195" s="152">
        <f>K195-(F195+G195+H195)</f>
        <v>4.8299999999999983</v>
      </c>
      <c r="K195" s="162">
        <v>45.32</v>
      </c>
      <c r="L195" s="118">
        <f>M195-K195</f>
        <v>16.738714232627281</v>
      </c>
      <c r="M195" s="169">
        <f>668/10.764</f>
        <v>62.058714232627281</v>
      </c>
      <c r="N195" s="151">
        <f>M195*I248</f>
        <v>21.504183202831701</v>
      </c>
      <c r="O195" s="114">
        <v>0</v>
      </c>
      <c r="P195" s="115"/>
    </row>
    <row r="196" spans="1:16" ht="15.95" customHeight="1">
      <c r="A196" s="124"/>
      <c r="B196" s="124"/>
      <c r="C196" s="124"/>
      <c r="D196" s="116"/>
      <c r="E196" s="120"/>
      <c r="F196" s="126"/>
      <c r="G196" s="117"/>
      <c r="H196" s="181"/>
      <c r="I196" s="182"/>
      <c r="J196" s="152"/>
      <c r="K196" s="152"/>
      <c r="L196" s="118"/>
      <c r="M196" s="169"/>
      <c r="N196" s="151"/>
      <c r="O196" s="114"/>
      <c r="P196" s="115"/>
    </row>
    <row r="197" spans="1:16" ht="15.75" customHeight="1">
      <c r="A197" s="124">
        <v>92</v>
      </c>
      <c r="B197" s="124"/>
      <c r="C197" s="124">
        <v>5</v>
      </c>
      <c r="D197" s="116" t="s">
        <v>127</v>
      </c>
      <c r="E197" s="120">
        <v>502</v>
      </c>
      <c r="F197" s="126">
        <v>38.92</v>
      </c>
      <c r="G197" s="117">
        <v>0</v>
      </c>
      <c r="H197" s="181">
        <v>1.52</v>
      </c>
      <c r="I197" s="182"/>
      <c r="J197" s="152">
        <f>K197-(F197+G197+H197)</f>
        <v>5.7099999999999937</v>
      </c>
      <c r="K197" s="162">
        <v>46.15</v>
      </c>
      <c r="L197" s="118">
        <f>M197-K197</f>
        <v>17.116443701226316</v>
      </c>
      <c r="M197" s="169">
        <f>681/10.764</f>
        <v>63.266443701226315</v>
      </c>
      <c r="N197" s="151">
        <f>M197*I248</f>
        <v>21.922677786120342</v>
      </c>
      <c r="O197" s="114">
        <v>0</v>
      </c>
      <c r="P197" s="111"/>
    </row>
    <row r="198" spans="1:16" ht="15.95" customHeight="1">
      <c r="A198" s="124"/>
      <c r="B198" s="124"/>
      <c r="C198" s="124"/>
      <c r="D198" s="116"/>
      <c r="E198" s="120"/>
      <c r="F198" s="126"/>
      <c r="G198" s="117"/>
      <c r="H198" s="181"/>
      <c r="I198" s="182"/>
      <c r="J198" s="152"/>
      <c r="K198" s="152"/>
      <c r="L198" s="118"/>
      <c r="M198" s="169"/>
      <c r="N198" s="151"/>
      <c r="O198" s="114"/>
      <c r="P198" s="115"/>
    </row>
    <row r="199" spans="1:16" ht="15" customHeight="1">
      <c r="A199" s="124">
        <v>93</v>
      </c>
      <c r="B199" s="124"/>
      <c r="C199" s="124">
        <v>5</v>
      </c>
      <c r="D199" s="116" t="s">
        <v>127</v>
      </c>
      <c r="E199" s="120">
        <v>503</v>
      </c>
      <c r="F199" s="126">
        <v>41.72</v>
      </c>
      <c r="G199" s="117">
        <v>2.19</v>
      </c>
      <c r="H199" s="181">
        <v>0</v>
      </c>
      <c r="I199" s="182"/>
      <c r="J199" s="152">
        <f>K199-(F199+G199+H199)</f>
        <v>8.0600000000000023</v>
      </c>
      <c r="K199" s="162">
        <v>51.97</v>
      </c>
      <c r="L199" s="118">
        <f>M199-K199</f>
        <v>18.078309178743964</v>
      </c>
      <c r="M199" s="169">
        <f>754/10.764</f>
        <v>70.048309178743963</v>
      </c>
      <c r="N199" s="151">
        <f>M199*I248</f>
        <v>24.272685830741171</v>
      </c>
      <c r="O199" s="114">
        <v>0</v>
      </c>
      <c r="P199" s="115"/>
    </row>
    <row r="200" spans="1:16" ht="15.95" customHeight="1">
      <c r="A200" s="124"/>
      <c r="B200" s="124"/>
      <c r="C200" s="124"/>
      <c r="D200" s="116"/>
      <c r="E200" s="120"/>
      <c r="F200" s="126"/>
      <c r="G200" s="117"/>
      <c r="H200" s="181"/>
      <c r="I200" s="182"/>
      <c r="J200" s="152"/>
      <c r="K200" s="152"/>
      <c r="L200" s="118"/>
      <c r="M200" s="169"/>
      <c r="N200" s="151"/>
      <c r="O200" s="114"/>
      <c r="P200" s="115"/>
    </row>
    <row r="201" spans="1:16" ht="15.95" customHeight="1">
      <c r="A201" s="124">
        <v>94</v>
      </c>
      <c r="B201" s="124"/>
      <c r="C201" s="124">
        <v>5</v>
      </c>
      <c r="D201" s="116" t="s">
        <v>127</v>
      </c>
      <c r="E201" s="120">
        <v>504</v>
      </c>
      <c r="F201" s="126">
        <v>38.36</v>
      </c>
      <c r="G201" s="117">
        <v>0</v>
      </c>
      <c r="H201" s="181">
        <v>0</v>
      </c>
      <c r="I201" s="182"/>
      <c r="J201" s="152">
        <f>K201-(F201+G201+H201)</f>
        <v>4.759999999999998</v>
      </c>
      <c r="K201" s="162">
        <v>43.12</v>
      </c>
      <c r="L201" s="118">
        <f>M201-K201</f>
        <v>16.801962095875147</v>
      </c>
      <c r="M201" s="169">
        <f>645/10.764</f>
        <v>59.921962095875145</v>
      </c>
      <c r="N201" s="151">
        <f>M201*I248</f>
        <v>20.763769709321032</v>
      </c>
      <c r="O201" s="114">
        <v>0</v>
      </c>
      <c r="P201" s="115"/>
    </row>
    <row r="202" spans="1:16" ht="17.25" customHeight="1">
      <c r="A202" s="124"/>
      <c r="B202" s="124"/>
      <c r="C202" s="124"/>
      <c r="D202" s="116"/>
      <c r="E202" s="120"/>
      <c r="F202" s="126"/>
      <c r="G202" s="117"/>
      <c r="H202" s="181"/>
      <c r="I202" s="182"/>
      <c r="J202" s="152"/>
      <c r="K202" s="152"/>
      <c r="L202" s="118"/>
      <c r="M202" s="169"/>
      <c r="N202" s="151"/>
      <c r="O202" s="114"/>
      <c r="P202" s="115"/>
    </row>
    <row r="203" spans="1:16" ht="15.95" customHeight="1">
      <c r="A203" s="124">
        <v>95</v>
      </c>
      <c r="B203" s="124"/>
      <c r="C203" s="124">
        <v>5</v>
      </c>
      <c r="D203" s="116" t="s">
        <v>127</v>
      </c>
      <c r="E203" s="120">
        <v>505</v>
      </c>
      <c r="F203" s="126">
        <v>41.4</v>
      </c>
      <c r="G203" s="117">
        <v>0</v>
      </c>
      <c r="H203" s="181">
        <v>2.17</v>
      </c>
      <c r="I203" s="182"/>
      <c r="J203" s="152">
        <f>K203-(F203+G203+H203)</f>
        <v>5</v>
      </c>
      <c r="K203" s="162">
        <v>48.57</v>
      </c>
      <c r="L203" s="118">
        <f>M203-K203</f>
        <v>17.855120772946869</v>
      </c>
      <c r="M203" s="169">
        <f>715/10.764</f>
        <v>66.425120772946869</v>
      </c>
      <c r="N203" s="151">
        <f>M203*I248</f>
        <v>23.017202080875251</v>
      </c>
      <c r="O203" s="114">
        <v>0</v>
      </c>
      <c r="P203" s="115"/>
    </row>
    <row r="204" spans="1:16" ht="15" customHeight="1">
      <c r="A204" s="123"/>
      <c r="B204" s="123"/>
      <c r="C204" s="123"/>
      <c r="D204" s="116"/>
      <c r="E204" s="120"/>
      <c r="F204" s="126"/>
      <c r="G204" s="117"/>
      <c r="H204" s="151"/>
      <c r="I204" s="152"/>
      <c r="J204" s="152"/>
      <c r="K204" s="152"/>
      <c r="L204" s="118"/>
      <c r="M204" s="169"/>
      <c r="N204" s="151"/>
      <c r="O204" s="114"/>
      <c r="P204" s="115"/>
    </row>
    <row r="205" spans="1:16" ht="25.5" customHeight="1">
      <c r="A205" s="123"/>
      <c r="B205" s="123" t="s">
        <v>130</v>
      </c>
      <c r="C205" s="123"/>
      <c r="D205" s="107"/>
      <c r="E205" s="121"/>
      <c r="F205" s="125"/>
      <c r="G205" s="108"/>
      <c r="H205" s="183"/>
      <c r="I205" s="184"/>
      <c r="J205" s="153"/>
      <c r="K205" s="153"/>
      <c r="L205" s="109"/>
      <c r="M205" s="170"/>
      <c r="N205" s="119"/>
      <c r="O205" s="113"/>
      <c r="P205" s="111"/>
    </row>
    <row r="206" spans="1:16" ht="15.95" customHeight="1">
      <c r="A206" s="124">
        <v>96</v>
      </c>
      <c r="B206" s="124"/>
      <c r="C206" s="124">
        <v>5</v>
      </c>
      <c r="D206" s="116" t="s">
        <v>127</v>
      </c>
      <c r="E206" s="120">
        <v>501</v>
      </c>
      <c r="F206" s="126">
        <v>57.56</v>
      </c>
      <c r="G206" s="117">
        <v>0</v>
      </c>
      <c r="H206" s="181">
        <v>0</v>
      </c>
      <c r="I206" s="182"/>
      <c r="J206" s="152">
        <f>K206-(F206+G206+H206)</f>
        <v>6.1699999999999946</v>
      </c>
      <c r="K206" s="162">
        <v>63.73</v>
      </c>
      <c r="L206" s="118">
        <f>M206-K206</f>
        <v>24.062642140468235</v>
      </c>
      <c r="M206" s="169">
        <f>945/10.764</f>
        <v>87.792642140468232</v>
      </c>
      <c r="N206" s="151">
        <f>M206*I248</f>
        <v>30.421337015981972</v>
      </c>
      <c r="O206" s="114">
        <v>0</v>
      </c>
      <c r="P206" s="115"/>
    </row>
    <row r="207" spans="1:16" ht="18.75" customHeight="1">
      <c r="A207" s="124"/>
      <c r="B207" s="124"/>
      <c r="C207" s="124"/>
      <c r="D207" s="116"/>
      <c r="E207" s="120"/>
      <c r="F207" s="126"/>
      <c r="G207" s="117"/>
      <c r="H207" s="181"/>
      <c r="I207" s="182"/>
      <c r="J207" s="152"/>
      <c r="K207" s="152"/>
      <c r="L207" s="118"/>
      <c r="M207" s="169"/>
      <c r="N207" s="151"/>
      <c r="O207" s="114"/>
      <c r="P207" s="115"/>
    </row>
    <row r="208" spans="1:16" ht="15.95" customHeight="1">
      <c r="A208" s="124">
        <v>97</v>
      </c>
      <c r="B208" s="124"/>
      <c r="C208" s="124">
        <v>5</v>
      </c>
      <c r="D208" s="116" t="s">
        <v>127</v>
      </c>
      <c r="E208" s="120">
        <v>502</v>
      </c>
      <c r="F208" s="126">
        <v>54.43</v>
      </c>
      <c r="G208" s="117">
        <v>5.95</v>
      </c>
      <c r="H208" s="181">
        <v>0</v>
      </c>
      <c r="I208" s="182"/>
      <c r="J208" s="152">
        <f>K208-(F208+G208+H208)</f>
        <v>8.2100000000000009</v>
      </c>
      <c r="K208" s="162">
        <v>68.59</v>
      </c>
      <c r="L208" s="118">
        <f>M208-K208</f>
        <v>25.427094017094021</v>
      </c>
      <c r="M208" s="169">
        <f>1012/10.764</f>
        <v>94.017094017094024</v>
      </c>
      <c r="N208" s="151">
        <f>M208*I248</f>
        <v>32.578193714469585</v>
      </c>
      <c r="O208" s="114">
        <v>0</v>
      </c>
      <c r="P208" s="115"/>
    </row>
    <row r="209" spans="1:16" ht="18" customHeight="1">
      <c r="A209" s="124"/>
      <c r="B209" s="124"/>
      <c r="C209" s="124"/>
      <c r="D209" s="116"/>
      <c r="E209" s="120"/>
      <c r="F209" s="126"/>
      <c r="G209" s="117"/>
      <c r="H209" s="181"/>
      <c r="I209" s="182"/>
      <c r="J209" s="152"/>
      <c r="K209" s="152"/>
      <c r="L209" s="118"/>
      <c r="M209" s="169"/>
      <c r="N209" s="151"/>
      <c r="O209" s="114"/>
      <c r="P209" s="115"/>
    </row>
    <row r="210" spans="1:16" ht="15.95" customHeight="1">
      <c r="A210" s="124">
        <v>98</v>
      </c>
      <c r="B210" s="124"/>
      <c r="C210" s="124">
        <v>5</v>
      </c>
      <c r="D210" s="116" t="s">
        <v>127</v>
      </c>
      <c r="E210" s="120">
        <v>503</v>
      </c>
      <c r="F210" s="126">
        <v>43.53</v>
      </c>
      <c r="G210" s="117">
        <v>2.91</v>
      </c>
      <c r="H210" s="181">
        <v>0</v>
      </c>
      <c r="I210" s="182"/>
      <c r="J210" s="152">
        <f>K210-(F210+G210+H210)</f>
        <v>6.7000000000000028</v>
      </c>
      <c r="K210" s="162">
        <v>53.14</v>
      </c>
      <c r="L210" s="118">
        <f>M210-K210</f>
        <v>19.788279450018578</v>
      </c>
      <c r="M210" s="169">
        <f>785/10.764</f>
        <v>72.928279450018579</v>
      </c>
      <c r="N210" s="151">
        <f>M210*I248</f>
        <v>25.270634452429469</v>
      </c>
      <c r="O210" s="114">
        <v>0</v>
      </c>
      <c r="P210" s="115"/>
    </row>
    <row r="211" spans="1:16" ht="15" customHeight="1">
      <c r="A211" s="124"/>
      <c r="B211" s="124"/>
      <c r="C211" s="124"/>
      <c r="D211" s="116"/>
      <c r="E211" s="120"/>
      <c r="F211" s="126"/>
      <c r="G211" s="117"/>
      <c r="H211" s="181"/>
      <c r="I211" s="182"/>
      <c r="J211" s="152"/>
      <c r="K211" s="152"/>
      <c r="L211" s="118"/>
      <c r="M211" s="169"/>
      <c r="N211" s="151"/>
      <c r="O211" s="114"/>
      <c r="P211" s="115"/>
    </row>
    <row r="212" spans="1:16" ht="15.95" customHeight="1">
      <c r="A212" s="124">
        <v>99</v>
      </c>
      <c r="B212" s="124"/>
      <c r="C212" s="124">
        <v>5</v>
      </c>
      <c r="D212" s="116" t="s">
        <v>124</v>
      </c>
      <c r="E212" s="120">
        <v>504</v>
      </c>
      <c r="F212" s="126">
        <v>68.67</v>
      </c>
      <c r="G212" s="117">
        <v>5.76</v>
      </c>
      <c r="H212" s="181">
        <v>0</v>
      </c>
      <c r="I212" s="182"/>
      <c r="J212" s="152">
        <f>K212-(F212+G212+H212)</f>
        <v>9.25</v>
      </c>
      <c r="K212" s="162">
        <v>83.68</v>
      </c>
      <c r="L212" s="118">
        <f>M212-K212</f>
        <v>30.589788182831654</v>
      </c>
      <c r="M212" s="169">
        <f>1230/10.764</f>
        <v>114.26978818283166</v>
      </c>
      <c r="N212" s="151">
        <f>M212*I248</f>
        <v>39.59602595730987</v>
      </c>
      <c r="O212" s="114">
        <v>1</v>
      </c>
      <c r="P212" s="115"/>
    </row>
    <row r="213" spans="1:16" ht="18" customHeight="1">
      <c r="A213" s="124"/>
      <c r="B213" s="124"/>
      <c r="C213" s="124"/>
      <c r="D213" s="116"/>
      <c r="E213" s="120"/>
      <c r="F213" s="126"/>
      <c r="G213" s="117"/>
      <c r="H213" s="181"/>
      <c r="I213" s="182"/>
      <c r="J213" s="152"/>
      <c r="K213" s="152"/>
      <c r="L213" s="118"/>
      <c r="M213" s="169"/>
      <c r="N213" s="151"/>
      <c r="O213" s="114"/>
      <c r="P213" s="115"/>
    </row>
    <row r="214" spans="1:16" ht="15.95" customHeight="1">
      <c r="A214" s="124">
        <v>100</v>
      </c>
      <c r="B214" s="124"/>
      <c r="C214" s="124">
        <v>5</v>
      </c>
      <c r="D214" s="116" t="s">
        <v>127</v>
      </c>
      <c r="E214" s="120">
        <v>505</v>
      </c>
      <c r="F214" s="126">
        <v>53.47</v>
      </c>
      <c r="G214" s="117">
        <v>7.57</v>
      </c>
      <c r="H214" s="181">
        <v>0</v>
      </c>
      <c r="I214" s="182"/>
      <c r="J214" s="152">
        <f>K214-(F214+G214+H214)</f>
        <v>7.8500000000000014</v>
      </c>
      <c r="K214" s="162">
        <v>68.89</v>
      </c>
      <c r="L214" s="118">
        <f>M214-K214</f>
        <v>24.941289483463407</v>
      </c>
      <c r="M214" s="169">
        <f>1010/10.764</f>
        <v>93.831289483463408</v>
      </c>
      <c r="N214" s="151">
        <f>M214*I248</f>
        <v>32.513809932425183</v>
      </c>
      <c r="O214" s="114">
        <v>0</v>
      </c>
      <c r="P214" s="115"/>
    </row>
    <row r="215" spans="1:16" ht="15.75" customHeight="1">
      <c r="A215" s="124"/>
      <c r="B215" s="124"/>
      <c r="C215" s="124"/>
      <c r="D215" s="116"/>
      <c r="E215" s="120"/>
      <c r="F215" s="126"/>
      <c r="G215" s="117"/>
      <c r="H215" s="181"/>
      <c r="I215" s="182"/>
      <c r="J215" s="152"/>
      <c r="K215" s="152"/>
      <c r="L215" s="118"/>
      <c r="M215" s="169"/>
      <c r="N215" s="151"/>
      <c r="O215" s="114"/>
      <c r="P215" s="115"/>
    </row>
    <row r="216" spans="1:16" ht="15.95" customHeight="1">
      <c r="A216" s="124">
        <v>101</v>
      </c>
      <c r="B216" s="124"/>
      <c r="C216" s="124">
        <v>5</v>
      </c>
      <c r="D216" s="116" t="s">
        <v>127</v>
      </c>
      <c r="E216" s="120">
        <v>506</v>
      </c>
      <c r="F216" s="126">
        <v>60.34</v>
      </c>
      <c r="G216" s="117">
        <v>4.57</v>
      </c>
      <c r="H216" s="181">
        <v>0</v>
      </c>
      <c r="I216" s="182"/>
      <c r="J216" s="152">
        <f>K216-(F216+G216+H216)</f>
        <v>9.3800000000000097</v>
      </c>
      <c r="K216" s="162">
        <v>74.290000000000006</v>
      </c>
      <c r="L216" s="118">
        <f>M216-K216</f>
        <v>27.437982162764769</v>
      </c>
      <c r="M216" s="169">
        <f>1095/10.764</f>
        <v>101.72798216276477</v>
      </c>
      <c r="N216" s="151">
        <f>M216*I248</f>
        <v>35.250120669312444</v>
      </c>
      <c r="O216" s="114">
        <v>0</v>
      </c>
      <c r="P216" s="115"/>
    </row>
    <row r="217" spans="1:16" ht="20.25" customHeight="1">
      <c r="A217" s="124"/>
      <c r="B217" s="124"/>
      <c r="C217" s="124"/>
      <c r="D217" s="116"/>
      <c r="E217" s="120"/>
      <c r="F217" s="126"/>
      <c r="G217" s="117"/>
      <c r="H217" s="181"/>
      <c r="I217" s="182"/>
      <c r="J217" s="152"/>
      <c r="K217" s="152"/>
      <c r="L217" s="118"/>
      <c r="M217" s="169"/>
      <c r="N217" s="151"/>
      <c r="O217" s="114"/>
      <c r="P217" s="115"/>
    </row>
    <row r="218" spans="1:16" ht="15.95" customHeight="1">
      <c r="A218" s="124">
        <v>102</v>
      </c>
      <c r="B218" s="124"/>
      <c r="C218" s="124">
        <v>5</v>
      </c>
      <c r="D218" s="116" t="s">
        <v>124</v>
      </c>
      <c r="E218" s="120">
        <v>507</v>
      </c>
      <c r="F218" s="126">
        <v>79.459999999999994</v>
      </c>
      <c r="G218" s="117">
        <v>5.52</v>
      </c>
      <c r="H218" s="181">
        <v>0</v>
      </c>
      <c r="I218" s="182"/>
      <c r="J218" s="152">
        <f>K218-(F218+G218+H218)</f>
        <v>9.1300000000000097</v>
      </c>
      <c r="K218" s="162">
        <v>94.11</v>
      </c>
      <c r="L218" s="118">
        <f>M218-K218</f>
        <v>31.40096246748422</v>
      </c>
      <c r="M218" s="169">
        <f>1351/10.764</f>
        <v>125.51096246748422</v>
      </c>
      <c r="N218" s="151">
        <f>M218*I248</f>
        <v>43.491244770996452</v>
      </c>
      <c r="O218" s="114">
        <v>1</v>
      </c>
      <c r="P218" s="115"/>
    </row>
    <row r="219" spans="1:16" ht="15" customHeight="1">
      <c r="A219" s="124"/>
      <c r="B219" s="124"/>
      <c r="C219" s="124"/>
      <c r="D219" s="116"/>
      <c r="E219" s="120"/>
      <c r="F219" s="126"/>
      <c r="G219" s="117"/>
      <c r="H219" s="181"/>
      <c r="I219" s="182"/>
      <c r="J219" s="152"/>
      <c r="K219" s="152"/>
      <c r="L219" s="118"/>
      <c r="M219" s="169"/>
      <c r="N219" s="151"/>
      <c r="O219" s="114"/>
      <c r="P219" s="115"/>
    </row>
    <row r="220" spans="1:16" ht="15.95" customHeight="1">
      <c r="A220" s="124">
        <v>103</v>
      </c>
      <c r="B220" s="124"/>
      <c r="C220" s="124">
        <v>5</v>
      </c>
      <c r="D220" s="116" t="s">
        <v>124</v>
      </c>
      <c r="E220" s="120">
        <v>508</v>
      </c>
      <c r="F220" s="126">
        <v>76.22</v>
      </c>
      <c r="G220" s="117">
        <v>7.26</v>
      </c>
      <c r="H220" s="181">
        <v>0</v>
      </c>
      <c r="I220" s="182"/>
      <c r="J220" s="152">
        <f>K220-(F220+G220+H220)</f>
        <v>9.6599999999999966</v>
      </c>
      <c r="K220" s="162">
        <v>93.14</v>
      </c>
      <c r="L220" s="118">
        <f>M220-K220</f>
        <v>34.507714604236355</v>
      </c>
      <c r="M220" s="169">
        <f>1374/10.764</f>
        <v>127.64771460423636</v>
      </c>
      <c r="N220" s="151">
        <f>M220*I248</f>
        <v>44.231658264507125</v>
      </c>
      <c r="O220" s="114">
        <v>1</v>
      </c>
      <c r="P220" s="115"/>
    </row>
    <row r="221" spans="1:16" ht="15" customHeight="1">
      <c r="A221" s="124"/>
      <c r="B221" s="124"/>
      <c r="C221" s="124"/>
      <c r="D221" s="116"/>
      <c r="E221" s="120"/>
      <c r="F221" s="126"/>
      <c r="G221" s="117"/>
      <c r="H221" s="181"/>
      <c r="I221" s="182"/>
      <c r="J221" s="152"/>
      <c r="K221" s="152"/>
      <c r="L221" s="118"/>
      <c r="M221" s="169"/>
      <c r="N221" s="151"/>
      <c r="O221" s="114"/>
      <c r="P221" s="115"/>
    </row>
    <row r="222" spans="1:16" ht="15.95" customHeight="1">
      <c r="A222" s="124">
        <v>104</v>
      </c>
      <c r="B222" s="124"/>
      <c r="C222" s="124">
        <v>5</v>
      </c>
      <c r="D222" s="116" t="s">
        <v>124</v>
      </c>
      <c r="E222" s="120">
        <v>509</v>
      </c>
      <c r="F222" s="126">
        <v>77.239999999999995</v>
      </c>
      <c r="G222" s="117">
        <v>5.18</v>
      </c>
      <c r="H222" s="181">
        <v>0</v>
      </c>
      <c r="I222" s="182"/>
      <c r="J222" s="152">
        <f>K222-(F222+G222+H222)</f>
        <v>9.210000000000008</v>
      </c>
      <c r="K222" s="162">
        <v>91.63</v>
      </c>
      <c r="L222" s="118">
        <f>M222-K222</f>
        <v>33.602255667038293</v>
      </c>
      <c r="M222" s="169">
        <f>1348/10.764</f>
        <v>125.23225566703829</v>
      </c>
      <c r="N222" s="151">
        <f>M222*I248</f>
        <v>43.394669097929842</v>
      </c>
      <c r="O222" s="114">
        <v>1</v>
      </c>
      <c r="P222" s="115"/>
    </row>
    <row r="223" spans="1:16" ht="18.75" customHeight="1">
      <c r="A223" s="124"/>
      <c r="B223" s="124"/>
      <c r="C223" s="124"/>
      <c r="D223" s="116"/>
      <c r="E223" s="120"/>
      <c r="F223" s="126"/>
      <c r="G223" s="117"/>
      <c r="H223" s="181"/>
      <c r="I223" s="182"/>
      <c r="J223" s="152"/>
      <c r="K223" s="152"/>
      <c r="L223" s="118"/>
      <c r="M223" s="169"/>
      <c r="N223" s="151"/>
      <c r="O223" s="114"/>
      <c r="P223" s="115"/>
    </row>
    <row r="224" spans="1:16" ht="15.95" customHeight="1">
      <c r="A224" s="124">
        <v>105</v>
      </c>
      <c r="B224" s="124"/>
      <c r="C224" s="124">
        <v>5</v>
      </c>
      <c r="D224" s="116" t="s">
        <v>127</v>
      </c>
      <c r="E224" s="120">
        <v>510</v>
      </c>
      <c r="F224" s="126">
        <v>53.56</v>
      </c>
      <c r="G224" s="117">
        <v>6.87</v>
      </c>
      <c r="H224" s="181">
        <v>0</v>
      </c>
      <c r="I224" s="182"/>
      <c r="J224" s="152">
        <f>K224-(F224+G224+H224)</f>
        <v>7.7500000000000071</v>
      </c>
      <c r="K224" s="162">
        <v>68.180000000000007</v>
      </c>
      <c r="L224" s="118">
        <f>M224-K224</f>
        <v>24.164853214418429</v>
      </c>
      <c r="M224" s="169">
        <f>994/10.764</f>
        <v>92.344853214418436</v>
      </c>
      <c r="N224" s="151">
        <f>M224*I248</f>
        <v>31.998739676069928</v>
      </c>
      <c r="O224" s="114">
        <v>0</v>
      </c>
      <c r="P224" s="115"/>
    </row>
    <row r="225" spans="1:16" ht="18" customHeight="1">
      <c r="A225" s="124"/>
      <c r="B225" s="124"/>
      <c r="C225" s="124"/>
      <c r="D225" s="116"/>
      <c r="E225" s="120"/>
      <c r="F225" s="126"/>
      <c r="G225" s="117"/>
      <c r="H225" s="181"/>
      <c r="I225" s="182"/>
      <c r="J225" s="152"/>
      <c r="K225" s="152"/>
      <c r="L225" s="118"/>
      <c r="M225" s="169"/>
      <c r="N225" s="151"/>
      <c r="O225" s="114"/>
      <c r="P225" s="115"/>
    </row>
    <row r="226" spans="1:16" ht="15.95" customHeight="1">
      <c r="A226" s="124">
        <v>106</v>
      </c>
      <c r="B226" s="124"/>
      <c r="C226" s="124">
        <v>5</v>
      </c>
      <c r="D226" s="116" t="s">
        <v>128</v>
      </c>
      <c r="E226" s="120">
        <v>511</v>
      </c>
      <c r="F226" s="126">
        <v>28.45</v>
      </c>
      <c r="G226" s="117">
        <v>0</v>
      </c>
      <c r="H226" s="181">
        <v>0</v>
      </c>
      <c r="I226" s="182"/>
      <c r="J226" s="152">
        <f>K226-(F226+G226+H226)</f>
        <v>4.5999999999999979</v>
      </c>
      <c r="K226" s="162">
        <v>33.049999999999997</v>
      </c>
      <c r="L226" s="118">
        <f>M226-K226</f>
        <v>12.286306205871426</v>
      </c>
      <c r="M226" s="169">
        <f>488/10.764</f>
        <v>45.336306205871423</v>
      </c>
      <c r="N226" s="151">
        <f>M226*I248</f>
        <v>15.709642818835135</v>
      </c>
      <c r="O226" s="114">
        <v>0</v>
      </c>
      <c r="P226" s="115"/>
    </row>
    <row r="227" spans="1:16" ht="17.25" customHeight="1">
      <c r="A227" s="124"/>
      <c r="B227" s="124"/>
      <c r="C227" s="124"/>
      <c r="D227" s="116"/>
      <c r="E227" s="120"/>
      <c r="F227" s="126"/>
      <c r="G227" s="117"/>
      <c r="H227" s="181"/>
      <c r="I227" s="182"/>
      <c r="J227" s="152"/>
      <c r="K227" s="152"/>
      <c r="L227" s="118"/>
      <c r="M227" s="169"/>
      <c r="N227" s="151"/>
      <c r="O227" s="114"/>
      <c r="P227" s="115"/>
    </row>
    <row r="228" spans="1:16" ht="15.95" customHeight="1">
      <c r="A228" s="124">
        <v>107</v>
      </c>
      <c r="B228" s="124"/>
      <c r="C228" s="124">
        <v>5</v>
      </c>
      <c r="D228" s="116" t="s">
        <v>127</v>
      </c>
      <c r="E228" s="120">
        <v>512</v>
      </c>
      <c r="F228" s="126">
        <v>55.13</v>
      </c>
      <c r="G228" s="117">
        <v>7.08</v>
      </c>
      <c r="H228" s="181">
        <v>0</v>
      </c>
      <c r="I228" s="182"/>
      <c r="J228" s="152">
        <f>K228-(F228+G228+H228)</f>
        <v>7.6999999999999957</v>
      </c>
      <c r="K228" s="162">
        <v>69.91</v>
      </c>
      <c r="L228" s="118">
        <f>M228-K228</f>
        <v>25.872237086584917</v>
      </c>
      <c r="M228" s="169">
        <f>1031/10.764</f>
        <v>95.782237086584914</v>
      </c>
      <c r="N228" s="151">
        <f>M228*I248</f>
        <v>33.189839643891446</v>
      </c>
      <c r="O228" s="114">
        <v>0</v>
      </c>
      <c r="P228" s="115"/>
    </row>
    <row r="229" spans="1:16" ht="13.5" customHeight="1">
      <c r="A229" s="124"/>
      <c r="B229" s="124"/>
      <c r="C229" s="124"/>
      <c r="D229" s="116"/>
      <c r="E229" s="120"/>
      <c r="F229" s="126"/>
      <c r="G229" s="117"/>
      <c r="H229" s="181"/>
      <c r="I229" s="182"/>
      <c r="J229" s="152"/>
      <c r="K229" s="152"/>
      <c r="L229" s="118"/>
      <c r="M229" s="169"/>
      <c r="N229" s="151"/>
      <c r="O229" s="114"/>
      <c r="P229" s="115"/>
    </row>
    <row r="230" spans="1:16" ht="15.95" customHeight="1">
      <c r="A230" s="124">
        <v>108</v>
      </c>
      <c r="B230" s="124"/>
      <c r="C230" s="124">
        <v>5</v>
      </c>
      <c r="D230" s="116" t="s">
        <v>127</v>
      </c>
      <c r="E230" s="120">
        <v>513</v>
      </c>
      <c r="F230" s="126">
        <v>54.8</v>
      </c>
      <c r="G230" s="117">
        <v>3.87</v>
      </c>
      <c r="H230" s="181">
        <v>3.88</v>
      </c>
      <c r="I230" s="182"/>
      <c r="J230" s="152">
        <f>K230-(F230+G230+H230)</f>
        <v>7.210000000000008</v>
      </c>
      <c r="K230" s="162">
        <v>69.760000000000005</v>
      </c>
      <c r="L230" s="118">
        <f>M230-K230</f>
        <v>26.672552954292087</v>
      </c>
      <c r="M230" s="169">
        <f>1038/10.764</f>
        <v>96.432552954292092</v>
      </c>
      <c r="N230" s="151">
        <f>M230*I248</f>
        <v>33.415182881046867</v>
      </c>
      <c r="O230" s="114">
        <v>0</v>
      </c>
      <c r="P230" s="115"/>
    </row>
    <row r="231" spans="1:16" ht="17.25" customHeight="1">
      <c r="A231" s="124"/>
      <c r="B231" s="124"/>
      <c r="C231" s="124"/>
      <c r="D231" s="116"/>
      <c r="E231" s="120"/>
      <c r="F231" s="126"/>
      <c r="G231" s="117"/>
      <c r="H231" s="181"/>
      <c r="I231" s="182"/>
      <c r="J231" s="152"/>
      <c r="K231" s="152"/>
      <c r="L231" s="118"/>
      <c r="M231" s="169"/>
      <c r="N231" s="151"/>
      <c r="O231" s="114"/>
      <c r="P231" s="115"/>
    </row>
    <row r="232" spans="1:16" ht="15.95" customHeight="1">
      <c r="A232" s="124">
        <v>109</v>
      </c>
      <c r="B232" s="124"/>
      <c r="C232" s="124">
        <v>5</v>
      </c>
      <c r="D232" s="116" t="s">
        <v>127</v>
      </c>
      <c r="E232" s="120">
        <v>514</v>
      </c>
      <c r="F232" s="126">
        <v>57.98</v>
      </c>
      <c r="G232" s="117">
        <v>8.83</v>
      </c>
      <c r="H232" s="181">
        <v>0</v>
      </c>
      <c r="I232" s="182"/>
      <c r="J232" s="152">
        <f>K232-(F232+G232+H232)</f>
        <v>7.3900000000000006</v>
      </c>
      <c r="K232" s="162">
        <v>74.2</v>
      </c>
      <c r="L232" s="118">
        <f>M232-K232</f>
        <v>27.806688963210703</v>
      </c>
      <c r="M232" s="169">
        <f>1098/10.764</f>
        <v>102.00668896321071</v>
      </c>
      <c r="N232" s="151">
        <f>M232*I248</f>
        <v>35.346696342379055</v>
      </c>
      <c r="O232" s="114">
        <v>0</v>
      </c>
      <c r="P232" s="115"/>
    </row>
    <row r="233" spans="1:16" ht="18" customHeight="1">
      <c r="A233" s="124"/>
      <c r="B233" s="124"/>
      <c r="C233" s="124"/>
      <c r="D233" s="116"/>
      <c r="E233" s="120"/>
      <c r="F233" s="126"/>
      <c r="G233" s="117"/>
      <c r="H233" s="181"/>
      <c r="I233" s="182"/>
      <c r="J233" s="152"/>
      <c r="K233" s="152"/>
      <c r="L233" s="118"/>
      <c r="M233" s="169"/>
      <c r="N233" s="151"/>
      <c r="O233" s="114"/>
      <c r="P233" s="115"/>
    </row>
    <row r="234" spans="1:16" ht="15.95" customHeight="1">
      <c r="A234" s="124">
        <v>110</v>
      </c>
      <c r="B234" s="124"/>
      <c r="C234" s="124">
        <v>5</v>
      </c>
      <c r="D234" s="116" t="s">
        <v>127</v>
      </c>
      <c r="E234" s="120">
        <v>515</v>
      </c>
      <c r="F234" s="126">
        <v>58.39</v>
      </c>
      <c r="G234" s="117">
        <v>3.46</v>
      </c>
      <c r="H234" s="181">
        <v>0</v>
      </c>
      <c r="I234" s="182"/>
      <c r="J234" s="152">
        <f>K234-(F234+G234+H234)</f>
        <v>7.3399999999999963</v>
      </c>
      <c r="K234" s="162">
        <v>69.19</v>
      </c>
      <c r="L234" s="118">
        <f>M234-K234</f>
        <v>25.570312151616506</v>
      </c>
      <c r="M234" s="169">
        <f>1020/10.764</f>
        <v>94.760312151616503</v>
      </c>
      <c r="N234" s="151">
        <f>M234*I248</f>
        <v>32.835728842647207</v>
      </c>
      <c r="O234" s="114">
        <v>0</v>
      </c>
      <c r="P234" s="115"/>
    </row>
    <row r="235" spans="1:16" ht="16.5" customHeight="1">
      <c r="A235" s="124"/>
      <c r="B235" s="124"/>
      <c r="C235" s="124"/>
      <c r="D235" s="116"/>
      <c r="E235" s="120"/>
      <c r="F235" s="126"/>
      <c r="G235" s="117"/>
      <c r="H235" s="181"/>
      <c r="I235" s="182"/>
      <c r="J235" s="152"/>
      <c r="K235" s="152"/>
      <c r="L235" s="118"/>
      <c r="M235" s="169"/>
      <c r="N235" s="151"/>
      <c r="O235" s="114"/>
      <c r="P235" s="115"/>
    </row>
    <row r="236" spans="1:16" ht="15.95" customHeight="1">
      <c r="A236" s="124">
        <v>111</v>
      </c>
      <c r="B236" s="124"/>
      <c r="C236" s="124">
        <v>5</v>
      </c>
      <c r="D236" s="116" t="s">
        <v>127</v>
      </c>
      <c r="E236" s="120">
        <v>516</v>
      </c>
      <c r="F236" s="126">
        <v>53.31</v>
      </c>
      <c r="G236" s="117">
        <v>4.78</v>
      </c>
      <c r="H236" s="181">
        <v>0</v>
      </c>
      <c r="I236" s="182"/>
      <c r="J236" s="152">
        <f>K236-(F236+G236+H236)</f>
        <v>7.1899999999999977</v>
      </c>
      <c r="K236" s="162">
        <v>65.28</v>
      </c>
      <c r="L236" s="118">
        <f>M236-K236</f>
        <v>24.091980676328504</v>
      </c>
      <c r="M236" s="169">
        <f>962/10.764</f>
        <v>89.371980676328505</v>
      </c>
      <c r="N236" s="151">
        <f>M236*I248</f>
        <v>30.968599163359425</v>
      </c>
      <c r="O236" s="114">
        <v>0</v>
      </c>
      <c r="P236" s="115"/>
    </row>
    <row r="237" spans="1:16" ht="15" customHeight="1">
      <c r="A237" s="124"/>
      <c r="B237" s="124"/>
      <c r="C237" s="124"/>
      <c r="D237" s="116"/>
      <c r="E237" s="120"/>
      <c r="F237" s="126"/>
      <c r="G237" s="117"/>
      <c r="H237" s="181"/>
      <c r="I237" s="182"/>
      <c r="J237" s="152"/>
      <c r="K237" s="152"/>
      <c r="L237" s="118"/>
      <c r="M237" s="169"/>
      <c r="N237" s="151"/>
      <c r="O237" s="114"/>
      <c r="P237" s="115"/>
    </row>
    <row r="238" spans="1:16" ht="15.95" customHeight="1">
      <c r="A238" s="124">
        <v>112</v>
      </c>
      <c r="B238" s="124"/>
      <c r="C238" s="124">
        <v>5</v>
      </c>
      <c r="D238" s="116" t="s">
        <v>124</v>
      </c>
      <c r="E238" s="120">
        <v>517</v>
      </c>
      <c r="F238" s="126">
        <v>73.900000000000006</v>
      </c>
      <c r="G238" s="117">
        <v>5.52</v>
      </c>
      <c r="H238" s="181">
        <v>3</v>
      </c>
      <c r="I238" s="182"/>
      <c r="J238" s="152">
        <f>K238-(F238+G238+H238)</f>
        <v>9.7600000000000051</v>
      </c>
      <c r="K238" s="162">
        <v>92.18</v>
      </c>
      <c r="L238" s="118">
        <f>M238-K238</f>
        <v>33.981278335191377</v>
      </c>
      <c r="M238" s="169">
        <f>1358/10.764</f>
        <v>126.16127833519138</v>
      </c>
      <c r="N238" s="151">
        <f>M238*I248</f>
        <v>43.716588008151874</v>
      </c>
      <c r="O238" s="114">
        <v>1</v>
      </c>
      <c r="P238" s="115"/>
    </row>
    <row r="239" spans="1:16" ht="19.5" customHeight="1">
      <c r="A239" s="124"/>
      <c r="B239" s="124"/>
      <c r="C239" s="124"/>
      <c r="D239" s="116"/>
      <c r="E239" s="120"/>
      <c r="F239" s="126"/>
      <c r="G239" s="117"/>
      <c r="H239" s="181"/>
      <c r="I239" s="182"/>
      <c r="J239" s="152"/>
      <c r="K239" s="152"/>
      <c r="L239" s="118"/>
      <c r="M239" s="169"/>
      <c r="N239" s="151"/>
      <c r="O239" s="114"/>
      <c r="P239" s="115"/>
    </row>
    <row r="240" spans="1:16" ht="15.95" customHeight="1">
      <c r="A240" s="124">
        <v>113</v>
      </c>
      <c r="B240" s="124"/>
      <c r="C240" s="124">
        <v>5</v>
      </c>
      <c r="D240" s="116" t="s">
        <v>124</v>
      </c>
      <c r="E240" s="120">
        <v>518</v>
      </c>
      <c r="F240" s="126">
        <v>72.650000000000006</v>
      </c>
      <c r="G240" s="117">
        <v>5.7</v>
      </c>
      <c r="H240" s="181">
        <v>0</v>
      </c>
      <c r="I240" s="182"/>
      <c r="J240" s="152">
        <f>K240-(F240+G240+H240)</f>
        <v>8.4399999999999977</v>
      </c>
      <c r="K240" s="162">
        <v>86.79</v>
      </c>
      <c r="L240" s="118">
        <f>M240-K240</f>
        <v>32.217803790412489</v>
      </c>
      <c r="M240" s="169">
        <f>1281/10.764</f>
        <v>119.0078037904125</v>
      </c>
      <c r="N240" s="151">
        <f>M240*I248</f>
        <v>41.237812399442234</v>
      </c>
      <c r="O240" s="114">
        <v>1</v>
      </c>
      <c r="P240" s="115"/>
    </row>
    <row r="241" spans="1:17" ht="18.75" customHeight="1">
      <c r="A241" s="129"/>
      <c r="B241" s="129"/>
      <c r="C241" s="129"/>
      <c r="D241" s="130"/>
      <c r="E241" s="130"/>
      <c r="F241" s="131"/>
      <c r="G241" s="132"/>
      <c r="H241" s="226"/>
      <c r="I241" s="227"/>
      <c r="J241" s="155"/>
      <c r="K241" s="155"/>
      <c r="L241" s="133"/>
      <c r="M241" s="171"/>
      <c r="N241" s="154"/>
      <c r="O241" s="134"/>
      <c r="P241" s="135"/>
    </row>
    <row r="242" spans="1:17" ht="18.75" customHeight="1" thickBot="1">
      <c r="A242" s="140"/>
      <c r="B242" s="140"/>
      <c r="C242" s="207" t="s">
        <v>152</v>
      </c>
      <c r="D242" s="208"/>
      <c r="E242" s="209"/>
      <c r="F242" s="141"/>
      <c r="G242" s="142"/>
      <c r="H242" s="205"/>
      <c r="I242" s="206"/>
      <c r="J242" s="143"/>
      <c r="K242" s="143"/>
      <c r="L242" s="143"/>
      <c r="M242" s="172"/>
      <c r="N242" s="143"/>
      <c r="O242" s="144"/>
      <c r="P242" s="144">
        <v>6</v>
      </c>
    </row>
    <row r="243" spans="1:17" ht="18.75" customHeight="1" thickBot="1">
      <c r="A243" s="140"/>
      <c r="B243" s="140"/>
      <c r="C243" s="178" t="s">
        <v>157</v>
      </c>
      <c r="D243" s="178"/>
      <c r="E243" s="178"/>
      <c r="F243" s="145"/>
      <c r="G243" s="146"/>
      <c r="H243" s="147"/>
      <c r="I243" s="147"/>
      <c r="J243" s="147"/>
      <c r="K243" s="147"/>
      <c r="L243" s="147"/>
      <c r="M243" s="173"/>
      <c r="N243" s="147"/>
      <c r="O243" s="148" t="s">
        <v>162</v>
      </c>
      <c r="P243" s="148" t="s">
        <v>163</v>
      </c>
    </row>
    <row r="244" spans="1:17" ht="16.5" customHeight="1" thickBot="1">
      <c r="A244" s="163"/>
      <c r="B244" s="218" t="s">
        <v>43</v>
      </c>
      <c r="C244" s="218"/>
      <c r="D244" s="163"/>
      <c r="E244" s="163"/>
      <c r="F244" s="164">
        <f>SUM(F7:F240)</f>
        <v>6243.2000000000007</v>
      </c>
      <c r="G244" s="164">
        <f>SUM(G7:G240)</f>
        <v>465.05999999999966</v>
      </c>
      <c r="H244" s="219">
        <f>SUM(H7:H240)</f>
        <v>52.850000000000009</v>
      </c>
      <c r="I244" s="219"/>
      <c r="J244" s="164">
        <f t="shared" ref="J244:N244" si="0">SUM(J7:J240)</f>
        <v>840.65000000000055</v>
      </c>
      <c r="K244" s="164">
        <f>SUM(K7:K240)</f>
        <v>7601.7599999999993</v>
      </c>
      <c r="L244" s="164">
        <f t="shared" si="0"/>
        <v>2791.7740022296534</v>
      </c>
      <c r="M244" s="174">
        <f t="shared" si="0"/>
        <v>10393.534002229657</v>
      </c>
      <c r="N244" s="164">
        <f t="shared" si="0"/>
        <v>3601.4999999999995</v>
      </c>
      <c r="O244" s="136">
        <v>70</v>
      </c>
      <c r="P244" s="136">
        <v>11</v>
      </c>
      <c r="Q244" s="128"/>
    </row>
    <row r="245" spans="1:17" ht="19.899999999999999" customHeight="1" thickBot="1">
      <c r="O245" s="210">
        <f>O244+P244</f>
        <v>81</v>
      </c>
      <c r="P245" s="211"/>
    </row>
    <row r="246" spans="1:17" ht="19.899999999999999" customHeight="1">
      <c r="A246" s="150" t="s">
        <v>160</v>
      </c>
      <c r="B246" s="179" t="s">
        <v>159</v>
      </c>
      <c r="C246" s="179"/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80"/>
      <c r="O246" s="166"/>
      <c r="P246" s="166"/>
    </row>
    <row r="247" spans="1:17" ht="19.899999999999999" customHeight="1">
      <c r="A247" s="149"/>
      <c r="O247" s="166"/>
      <c r="P247" s="166"/>
    </row>
    <row r="248" spans="1:17" ht="15.75" customHeight="1">
      <c r="B248" s="220"/>
      <c r="C248" s="221"/>
      <c r="D248" s="214" t="s">
        <v>132</v>
      </c>
      <c r="E248" s="216" t="s">
        <v>131</v>
      </c>
      <c r="F248" s="217"/>
      <c r="G248" s="156">
        <v>3601.5</v>
      </c>
      <c r="H248" s="222" t="s">
        <v>15</v>
      </c>
      <c r="I248" s="212">
        <f>G248/G249</f>
        <v>0.34651351496299465</v>
      </c>
      <c r="J248" s="165"/>
    </row>
    <row r="249" spans="1:17" ht="15.75" customHeight="1">
      <c r="B249" s="224"/>
      <c r="C249" s="225"/>
      <c r="D249" s="215"/>
      <c r="E249" s="216" t="s">
        <v>133</v>
      </c>
      <c r="F249" s="217"/>
      <c r="G249" s="156">
        <f>M244</f>
        <v>10393.534002229657</v>
      </c>
      <c r="H249" s="223"/>
      <c r="I249" s="213"/>
      <c r="J249" s="165"/>
    </row>
  </sheetData>
  <mergeCells count="261">
    <mergeCell ref="A4:A5"/>
    <mergeCell ref="E4:E5"/>
    <mergeCell ref="H242:I242"/>
    <mergeCell ref="C242:E242"/>
    <mergeCell ref="O245:P245"/>
    <mergeCell ref="I248:I249"/>
    <mergeCell ref="D248:D249"/>
    <mergeCell ref="E249:F249"/>
    <mergeCell ref="B244:C244"/>
    <mergeCell ref="H244:I244"/>
    <mergeCell ref="B248:C248"/>
    <mergeCell ref="E248:F248"/>
    <mergeCell ref="H248:H249"/>
    <mergeCell ref="B249:C249"/>
    <mergeCell ref="H240:I240"/>
    <mergeCell ref="H241:I241"/>
    <mergeCell ref="H229:I229"/>
    <mergeCell ref="H220:I220"/>
    <mergeCell ref="H221:I221"/>
    <mergeCell ref="H222:I222"/>
    <mergeCell ref="H223:I223"/>
    <mergeCell ref="H224:I224"/>
    <mergeCell ref="H225:I225"/>
    <mergeCell ref="H226:I226"/>
    <mergeCell ref="H227:I227"/>
    <mergeCell ref="H228:I228"/>
    <mergeCell ref="H239:I239"/>
    <mergeCell ref="H230:I230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14:I214"/>
    <mergeCell ref="H215:I215"/>
    <mergeCell ref="H216:I216"/>
    <mergeCell ref="H217:I217"/>
    <mergeCell ref="H218:I218"/>
    <mergeCell ref="H219:I219"/>
    <mergeCell ref="H14:I14"/>
    <mergeCell ref="H15:I15"/>
    <mergeCell ref="H105:I105"/>
    <mergeCell ref="H106:I106"/>
    <mergeCell ref="H107:I107"/>
    <mergeCell ref="H194:I194"/>
    <mergeCell ref="H208:I208"/>
    <mergeCell ref="H205:I205"/>
    <mergeCell ref="H206:I206"/>
    <mergeCell ref="H207:I207"/>
    <mergeCell ref="H209:I209"/>
    <mergeCell ref="H210:I210"/>
    <mergeCell ref="H211:I211"/>
    <mergeCell ref="H212:I212"/>
    <mergeCell ref="H213:I213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185:I185"/>
    <mergeCell ref="H187:I187"/>
    <mergeCell ref="H188:I188"/>
    <mergeCell ref="H189:I189"/>
    <mergeCell ref="H190:I190"/>
    <mergeCell ref="H191:I191"/>
    <mergeCell ref="H192:I192"/>
    <mergeCell ref="H186:I186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58:I158"/>
    <mergeCell ref="H159:I159"/>
    <mergeCell ref="H160:I160"/>
    <mergeCell ref="H161:I161"/>
    <mergeCell ref="H162:I162"/>
    <mergeCell ref="H163:I163"/>
    <mergeCell ref="H165:I165"/>
    <mergeCell ref="H166:I166"/>
    <mergeCell ref="H164:I164"/>
    <mergeCell ref="H48:I48"/>
    <mergeCell ref="H46:I46"/>
    <mergeCell ref="H61:I61"/>
    <mergeCell ref="H64:I64"/>
    <mergeCell ref="H65:I65"/>
    <mergeCell ref="H66:I66"/>
    <mergeCell ref="H59:I59"/>
    <mergeCell ref="H47:I47"/>
    <mergeCell ref="H50:I50"/>
    <mergeCell ref="H52:I52"/>
    <mergeCell ref="H51:I51"/>
    <mergeCell ref="H54:I54"/>
    <mergeCell ref="H55:I55"/>
    <mergeCell ref="H49:I49"/>
    <mergeCell ref="H57:I57"/>
    <mergeCell ref="H58:I58"/>
    <mergeCell ref="H53:I53"/>
    <mergeCell ref="H56:I56"/>
    <mergeCell ref="H62:I62"/>
    <mergeCell ref="H63:I63"/>
    <mergeCell ref="H28:I28"/>
    <mergeCell ref="H34:I34"/>
    <mergeCell ref="H32:I32"/>
    <mergeCell ref="H45:I45"/>
    <mergeCell ref="H39:I39"/>
    <mergeCell ref="H40:I40"/>
    <mergeCell ref="H41:I41"/>
    <mergeCell ref="H42:I42"/>
    <mergeCell ref="H43:I43"/>
    <mergeCell ref="H29:I29"/>
    <mergeCell ref="H30:I30"/>
    <mergeCell ref="H44:I44"/>
    <mergeCell ref="F2:L2"/>
    <mergeCell ref="H4:I5"/>
    <mergeCell ref="H17:I17"/>
    <mergeCell ref="N2:P2"/>
    <mergeCell ref="B4:B5"/>
    <mergeCell ref="D4:D5"/>
    <mergeCell ref="F4:F5"/>
    <mergeCell ref="L4:L5"/>
    <mergeCell ref="M4:M5"/>
    <mergeCell ref="N4:N5"/>
    <mergeCell ref="O4:P4"/>
    <mergeCell ref="G4:G5"/>
    <mergeCell ref="H6:I6"/>
    <mergeCell ref="H7:I7"/>
    <mergeCell ref="H8:I8"/>
    <mergeCell ref="H9:I9"/>
    <mergeCell ref="H10:I10"/>
    <mergeCell ref="H11:I11"/>
    <mergeCell ref="H12:I12"/>
    <mergeCell ref="H13:I13"/>
    <mergeCell ref="C4:C5"/>
    <mergeCell ref="J4:J5"/>
    <mergeCell ref="K4:K5"/>
    <mergeCell ref="H78:I78"/>
    <mergeCell ref="H67:I67"/>
    <mergeCell ref="H68:I68"/>
    <mergeCell ref="H69:I69"/>
    <mergeCell ref="H70:I70"/>
    <mergeCell ref="H71:I71"/>
    <mergeCell ref="H77:I77"/>
    <mergeCell ref="H72:I72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38:I38"/>
    <mergeCell ref="H35:I35"/>
    <mergeCell ref="H37:I37"/>
    <mergeCell ref="H36:I36"/>
    <mergeCell ref="H31:I31"/>
    <mergeCell ref="H33:I33"/>
    <mergeCell ref="H97:I97"/>
    <mergeCell ref="H98:I98"/>
    <mergeCell ref="H99:I99"/>
    <mergeCell ref="H73:I73"/>
    <mergeCell ref="H86:I86"/>
    <mergeCell ref="H87:I87"/>
    <mergeCell ref="H88:I88"/>
    <mergeCell ref="H89:I89"/>
    <mergeCell ref="H90:I90"/>
    <mergeCell ref="H79:I79"/>
    <mergeCell ref="H80:I80"/>
    <mergeCell ref="H81:I81"/>
    <mergeCell ref="H84:I84"/>
    <mergeCell ref="H91:I91"/>
    <mergeCell ref="H92:I92"/>
    <mergeCell ref="H93:I93"/>
    <mergeCell ref="H94:I94"/>
    <mergeCell ref="H95:I95"/>
    <mergeCell ref="H85:I85"/>
    <mergeCell ref="H82:I82"/>
    <mergeCell ref="H83:I83"/>
    <mergeCell ref="H74:I74"/>
    <mergeCell ref="H75:I75"/>
    <mergeCell ref="H76:I76"/>
    <mergeCell ref="H126:I126"/>
    <mergeCell ref="H127:I127"/>
    <mergeCell ref="H128:I128"/>
    <mergeCell ref="H129:I129"/>
    <mergeCell ref="H123:I123"/>
    <mergeCell ref="H124:I124"/>
    <mergeCell ref="H115:I115"/>
    <mergeCell ref="H116:I116"/>
    <mergeCell ref="H117:I117"/>
    <mergeCell ref="H96:I96"/>
    <mergeCell ref="H132:I132"/>
    <mergeCell ref="H133:I133"/>
    <mergeCell ref="H134:I134"/>
    <mergeCell ref="H140:I140"/>
    <mergeCell ref="H130:I130"/>
    <mergeCell ref="H131:I131"/>
    <mergeCell ref="H110:I110"/>
    <mergeCell ref="H111:I111"/>
    <mergeCell ref="H112:I112"/>
    <mergeCell ref="H113:I113"/>
    <mergeCell ref="H114:I114"/>
    <mergeCell ref="H109:I109"/>
    <mergeCell ref="H120:I120"/>
    <mergeCell ref="H121:I121"/>
    <mergeCell ref="H122:I122"/>
    <mergeCell ref="H100:I100"/>
    <mergeCell ref="H101:I101"/>
    <mergeCell ref="H102:I102"/>
    <mergeCell ref="H103:I103"/>
    <mergeCell ref="H104:I104"/>
    <mergeCell ref="H118:I118"/>
    <mergeCell ref="H119:I119"/>
    <mergeCell ref="H125:I125"/>
    <mergeCell ref="A1:P1"/>
    <mergeCell ref="C243:E243"/>
    <mergeCell ref="B246:N246"/>
    <mergeCell ref="H141:I141"/>
    <mergeCell ref="H142:I142"/>
    <mergeCell ref="H143:I143"/>
    <mergeCell ref="H135:I135"/>
    <mergeCell ref="H136:I136"/>
    <mergeCell ref="H137:I137"/>
    <mergeCell ref="H138:I138"/>
    <mergeCell ref="H139:I139"/>
    <mergeCell ref="H144:I144"/>
    <mergeCell ref="H145:I145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46:I146"/>
    <mergeCell ref="H147:I147"/>
    <mergeCell ref="H157:I157"/>
  </mergeCells>
  <printOptions horizontalCentered="1"/>
  <pageMargins left="0.39370078740157483" right="0.39370078740157483" top="0.78740157480314965" bottom="1.5748031496062993" header="0.31496062992125984" footer="0.31496062992125984"/>
  <pageSetup paperSize="9" scale="65" fitToHeight="0" orientation="landscape" r:id="rId1"/>
  <rowBreaks count="6" manualBreakCount="6">
    <brk id="64" max="15" man="1"/>
    <brk id="94" max="15" man="1"/>
    <brk id="123" max="15" man="1"/>
    <brk id="153" max="15" man="1"/>
    <brk id="237" max="15" man="1"/>
    <brk id="2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179"/>
  <sheetViews>
    <sheetView topLeftCell="A157" workbookViewId="0">
      <selection activeCell="G173" sqref="G173"/>
    </sheetView>
  </sheetViews>
  <sheetFormatPr defaultRowHeight="12.75"/>
  <cols>
    <col min="1" max="1" width="10.140625" customWidth="1"/>
    <col min="2" max="2" width="11.5703125" customWidth="1"/>
    <col min="3" max="3" width="12.28515625" customWidth="1"/>
    <col min="4" max="4" width="11.140625" customWidth="1"/>
    <col min="5" max="5" width="12" customWidth="1"/>
    <col min="6" max="6" width="11.42578125" customWidth="1"/>
    <col min="7" max="8" width="13.140625" customWidth="1"/>
    <col min="9" max="9" width="9.85546875" customWidth="1"/>
    <col min="10" max="10" width="8.7109375" customWidth="1"/>
    <col min="12" max="13" width="16.140625" customWidth="1"/>
    <col min="14" max="14" width="12" customWidth="1"/>
  </cols>
  <sheetData>
    <row r="1" spans="1:14" ht="15">
      <c r="A1" s="76" t="s">
        <v>98</v>
      </c>
    </row>
    <row r="2" spans="1:14" ht="15">
      <c r="A2" s="76" t="s">
        <v>94</v>
      </c>
    </row>
    <row r="3" spans="1:14" ht="15" customHeight="1">
      <c r="A3" s="228" t="s">
        <v>78</v>
      </c>
      <c r="B3" s="228" t="s">
        <v>79</v>
      </c>
      <c r="C3" s="228" t="s">
        <v>80</v>
      </c>
      <c r="D3" s="228" t="s">
        <v>81</v>
      </c>
      <c r="E3" s="238" t="s">
        <v>82</v>
      </c>
      <c r="F3" s="239"/>
      <c r="G3" s="228" t="s">
        <v>83</v>
      </c>
      <c r="H3" s="99"/>
      <c r="I3" s="228" t="s">
        <v>84</v>
      </c>
      <c r="J3" s="228" t="s">
        <v>77</v>
      </c>
    </row>
    <row r="4" spans="1:14" ht="38.25">
      <c r="A4" s="229"/>
      <c r="B4" s="229"/>
      <c r="C4" s="229"/>
      <c r="D4" s="229"/>
      <c r="E4" s="77" t="s">
        <v>85</v>
      </c>
      <c r="F4" s="77" t="s">
        <v>86</v>
      </c>
      <c r="G4" s="229"/>
      <c r="H4" s="100" t="s">
        <v>122</v>
      </c>
      <c r="I4" s="229"/>
      <c r="J4" s="229"/>
    </row>
    <row r="5" spans="1:14">
      <c r="A5" s="78" t="s">
        <v>47</v>
      </c>
      <c r="B5" s="78" t="s">
        <v>59</v>
      </c>
      <c r="C5" s="92">
        <v>831.95190000000002</v>
      </c>
      <c r="D5" s="92">
        <v>940.15060000000005</v>
      </c>
      <c r="E5" s="79" t="e">
        <f>D5*E19</f>
        <v>#REF!</v>
      </c>
      <c r="F5" s="79">
        <f>D5*E170</f>
        <v>13.537825829233748</v>
      </c>
      <c r="G5" s="79" t="e">
        <f>SUM(D5:F5)</f>
        <v>#REF!</v>
      </c>
      <c r="H5" s="79" t="e">
        <f>ROUND(G5,0)</f>
        <v>#REF!</v>
      </c>
      <c r="I5" s="98">
        <v>9</v>
      </c>
      <c r="J5" s="101" t="e">
        <f t="shared" ref="J5:J16" si="0">C5/H5</f>
        <v>#REF!</v>
      </c>
      <c r="L5" s="90" t="s">
        <v>99</v>
      </c>
      <c r="M5" s="71" t="e">
        <f>C5/G5</f>
        <v>#REF!</v>
      </c>
      <c r="N5" s="91" t="e">
        <f>C5/G5</f>
        <v>#REF!</v>
      </c>
    </row>
    <row r="6" spans="1:14">
      <c r="A6" s="78" t="s">
        <v>48</v>
      </c>
      <c r="B6" s="78" t="s">
        <v>41</v>
      </c>
      <c r="C6" s="92">
        <v>652.21019999999999</v>
      </c>
      <c r="D6" s="92">
        <v>755.32529999999997</v>
      </c>
      <c r="E6" s="79" t="e">
        <f>+D6*E19</f>
        <v>#REF!</v>
      </c>
      <c r="F6" s="79">
        <f>D6*E170</f>
        <v>10.876408902801028</v>
      </c>
      <c r="G6" s="79" t="e">
        <f t="shared" ref="G6:G16" si="1">SUM(D6:F6)</f>
        <v>#REF!</v>
      </c>
      <c r="H6" s="79" t="e">
        <f t="shared" ref="H6:H16" si="2">ROUND(G6,0)</f>
        <v>#REF!</v>
      </c>
      <c r="I6" s="98">
        <v>9</v>
      </c>
      <c r="J6" s="101" t="e">
        <f t="shared" si="0"/>
        <v>#REF!</v>
      </c>
      <c r="L6" s="90" t="s">
        <v>100</v>
      </c>
      <c r="M6" s="90">
        <f>+D5</f>
        <v>940.15060000000005</v>
      </c>
      <c r="N6" s="91"/>
    </row>
    <row r="7" spans="1:14">
      <c r="A7" s="78" t="s">
        <v>49</v>
      </c>
      <c r="B7" s="78" t="s">
        <v>41</v>
      </c>
      <c r="C7" s="92">
        <v>664.50229999999999</v>
      </c>
      <c r="D7" s="92">
        <v>769.44269999999995</v>
      </c>
      <c r="E7" s="79" t="e">
        <f>+D7*E19</f>
        <v>#REF!</v>
      </c>
      <c r="F7" s="79">
        <f>D7*E170</f>
        <v>11.079694315118614</v>
      </c>
      <c r="G7" s="79" t="e">
        <f t="shared" si="1"/>
        <v>#REF!</v>
      </c>
      <c r="H7" s="79" t="e">
        <f t="shared" si="2"/>
        <v>#REF!</v>
      </c>
      <c r="I7" s="98">
        <v>9</v>
      </c>
      <c r="J7" s="101" t="e">
        <f t="shared" si="0"/>
        <v>#REF!</v>
      </c>
      <c r="L7" s="90" t="s">
        <v>101</v>
      </c>
      <c r="M7" s="90">
        <f>+M6-C5</f>
        <v>108.19870000000003</v>
      </c>
      <c r="N7" s="91" t="e">
        <f>M7/G5</f>
        <v>#REF!</v>
      </c>
    </row>
    <row r="8" spans="1:14">
      <c r="A8" s="78" t="s">
        <v>50</v>
      </c>
      <c r="B8" s="78" t="s">
        <v>41</v>
      </c>
      <c r="C8" s="92">
        <v>652.21019999999999</v>
      </c>
      <c r="D8" s="92">
        <v>755.32529999999997</v>
      </c>
      <c r="E8" s="79" t="e">
        <f>+D8*E19</f>
        <v>#REF!</v>
      </c>
      <c r="F8" s="79">
        <f>D8*E170</f>
        <v>10.876408902801028</v>
      </c>
      <c r="G8" s="79" t="e">
        <f t="shared" si="1"/>
        <v>#REF!</v>
      </c>
      <c r="H8" s="79" t="e">
        <f t="shared" si="2"/>
        <v>#REF!</v>
      </c>
      <c r="I8" s="98">
        <v>9</v>
      </c>
      <c r="J8" s="101" t="e">
        <f t="shared" si="0"/>
        <v>#REF!</v>
      </c>
      <c r="L8" s="90" t="s">
        <v>82</v>
      </c>
      <c r="M8" s="90" t="e">
        <f>+E5+F5</f>
        <v>#REF!</v>
      </c>
      <c r="N8" s="91" t="e">
        <f>+M8/G5</f>
        <v>#REF!</v>
      </c>
    </row>
    <row r="9" spans="1:14">
      <c r="A9" s="78" t="s">
        <v>51</v>
      </c>
      <c r="B9" s="78" t="s">
        <v>41</v>
      </c>
      <c r="C9" s="92">
        <v>664.50229999999999</v>
      </c>
      <c r="D9" s="92">
        <v>769.44269999999995</v>
      </c>
      <c r="E9" s="79" t="e">
        <f>D9*E19</f>
        <v>#REF!</v>
      </c>
      <c r="F9" s="79">
        <f>D9*E170</f>
        <v>11.079694315118614</v>
      </c>
      <c r="G9" s="79" t="e">
        <f t="shared" si="1"/>
        <v>#REF!</v>
      </c>
      <c r="H9" s="79" t="e">
        <f t="shared" si="2"/>
        <v>#REF!</v>
      </c>
      <c r="I9" s="98">
        <v>9</v>
      </c>
      <c r="J9" s="101" t="e">
        <f t="shared" si="0"/>
        <v>#REF!</v>
      </c>
      <c r="N9" s="91" t="e">
        <f>SUM(N5:N8)</f>
        <v>#REF!</v>
      </c>
    </row>
    <row r="10" spans="1:14">
      <c r="A10" s="78" t="s">
        <v>52</v>
      </c>
      <c r="B10" s="78" t="s">
        <v>41</v>
      </c>
      <c r="C10" s="92">
        <v>652.21019999999999</v>
      </c>
      <c r="D10" s="92">
        <v>755.32529999999997</v>
      </c>
      <c r="E10" s="79" t="e">
        <f>D10*E19</f>
        <v>#REF!</v>
      </c>
      <c r="F10" s="79">
        <f>D10*E170</f>
        <v>10.876408902801028</v>
      </c>
      <c r="G10" s="79" t="e">
        <f t="shared" si="1"/>
        <v>#REF!</v>
      </c>
      <c r="H10" s="79" t="e">
        <f t="shared" si="2"/>
        <v>#REF!</v>
      </c>
      <c r="I10" s="98">
        <v>9</v>
      </c>
      <c r="J10" s="101" t="e">
        <f t="shared" si="0"/>
        <v>#REF!</v>
      </c>
    </row>
    <row r="11" spans="1:14">
      <c r="A11" s="78" t="s">
        <v>53</v>
      </c>
      <c r="B11" s="83" t="s">
        <v>41</v>
      </c>
      <c r="C11" s="92">
        <v>664.50229999999999</v>
      </c>
      <c r="D11" s="92">
        <v>769.44269999999995</v>
      </c>
      <c r="E11" s="79" t="e">
        <f>D11*E19</f>
        <v>#REF!</v>
      </c>
      <c r="F11" s="79">
        <f>D11*E170</f>
        <v>11.079694315118614</v>
      </c>
      <c r="G11" s="79" t="e">
        <f t="shared" si="1"/>
        <v>#REF!</v>
      </c>
      <c r="H11" s="79" t="e">
        <f t="shared" si="2"/>
        <v>#REF!</v>
      </c>
      <c r="I11" s="98">
        <v>9</v>
      </c>
      <c r="J11" s="101" t="e">
        <f t="shared" si="0"/>
        <v>#REF!</v>
      </c>
    </row>
    <row r="12" spans="1:14">
      <c r="A12" s="78" t="s">
        <v>54</v>
      </c>
      <c r="B12" s="83" t="s">
        <v>41</v>
      </c>
      <c r="C12" s="92">
        <v>661.23609999999996</v>
      </c>
      <c r="D12" s="92">
        <v>765.37929999999994</v>
      </c>
      <c r="E12" s="79" t="e">
        <f>D12*E19</f>
        <v>#REF!</v>
      </c>
      <c r="F12" s="79">
        <f>D12*E170</f>
        <v>11.021182836771944</v>
      </c>
      <c r="G12" s="79" t="e">
        <f t="shared" si="1"/>
        <v>#REF!</v>
      </c>
      <c r="H12" s="79" t="e">
        <f t="shared" si="2"/>
        <v>#REF!</v>
      </c>
      <c r="I12" s="98">
        <v>9</v>
      </c>
      <c r="J12" s="101" t="e">
        <f t="shared" si="0"/>
        <v>#REF!</v>
      </c>
    </row>
    <row r="13" spans="1:14">
      <c r="A13" s="78" t="s">
        <v>55</v>
      </c>
      <c r="B13" s="83" t="s">
        <v>41</v>
      </c>
      <c r="C13" s="92">
        <v>669.7165</v>
      </c>
      <c r="D13" s="92">
        <v>775.00459999999998</v>
      </c>
      <c r="E13" s="79" t="e">
        <f>+D13*E19</f>
        <v>#REF!</v>
      </c>
      <c r="F13" s="79">
        <f>D13*E170</f>
        <v>11.159783647061406</v>
      </c>
      <c r="G13" s="79" t="e">
        <f t="shared" si="1"/>
        <v>#REF!</v>
      </c>
      <c r="H13" s="79" t="e">
        <f t="shared" si="2"/>
        <v>#REF!</v>
      </c>
      <c r="I13" s="98">
        <v>9</v>
      </c>
      <c r="J13" s="101" t="e">
        <f t="shared" si="0"/>
        <v>#REF!</v>
      </c>
    </row>
    <row r="14" spans="1:14">
      <c r="A14" s="78" t="s">
        <v>56</v>
      </c>
      <c r="B14" s="78" t="s">
        <v>41</v>
      </c>
      <c r="C14" s="92">
        <v>667.94579999999996</v>
      </c>
      <c r="D14" s="92">
        <v>771.00109999999995</v>
      </c>
      <c r="E14" s="78" t="e">
        <f>+D14*E19</f>
        <v>#REF!</v>
      </c>
      <c r="F14" s="79">
        <f>D14*E170</f>
        <v>11.102134706873166</v>
      </c>
      <c r="G14" s="79" t="e">
        <f t="shared" si="1"/>
        <v>#REF!</v>
      </c>
      <c r="H14" s="79" t="e">
        <f t="shared" si="2"/>
        <v>#REF!</v>
      </c>
      <c r="I14" s="98">
        <v>9</v>
      </c>
      <c r="J14" s="101" t="e">
        <f t="shared" si="0"/>
        <v>#REF!</v>
      </c>
    </row>
    <row r="15" spans="1:14">
      <c r="A15" s="83" t="s">
        <v>91</v>
      </c>
      <c r="B15" s="78" t="s">
        <v>59</v>
      </c>
      <c r="C15" s="92">
        <v>831.95190000000002</v>
      </c>
      <c r="D15" s="92">
        <v>940.15060000000005</v>
      </c>
      <c r="E15" s="78" t="e">
        <f>D15*E19</f>
        <v>#REF!</v>
      </c>
      <c r="F15" s="79">
        <f>D15*E170</f>
        <v>13.537825829233748</v>
      </c>
      <c r="G15" s="79" t="e">
        <f t="shared" si="1"/>
        <v>#REF!</v>
      </c>
      <c r="H15" s="79" t="e">
        <f t="shared" si="2"/>
        <v>#REF!</v>
      </c>
      <c r="I15" s="98">
        <v>9</v>
      </c>
      <c r="J15" s="101" t="e">
        <f t="shared" si="0"/>
        <v>#REF!</v>
      </c>
    </row>
    <row r="16" spans="1:14">
      <c r="A16" s="83" t="s">
        <v>92</v>
      </c>
      <c r="B16" s="78" t="s">
        <v>41</v>
      </c>
      <c r="C16" s="92">
        <v>667.94579999999996</v>
      </c>
      <c r="D16" s="92">
        <v>771.00109999999995</v>
      </c>
      <c r="E16" s="78" t="e">
        <f>D16*E19</f>
        <v>#REF!</v>
      </c>
      <c r="F16" s="79">
        <f>D16*E170</f>
        <v>11.102134706873166</v>
      </c>
      <c r="G16" s="79" t="e">
        <f t="shared" si="1"/>
        <v>#REF!</v>
      </c>
      <c r="H16" s="79" t="e">
        <f t="shared" si="2"/>
        <v>#REF!</v>
      </c>
      <c r="I16" s="98">
        <v>9</v>
      </c>
      <c r="J16" s="101" t="e">
        <f t="shared" si="0"/>
        <v>#REF!</v>
      </c>
    </row>
    <row r="17" spans="1:14">
      <c r="A17" s="83" t="s">
        <v>87</v>
      </c>
      <c r="B17" s="84"/>
      <c r="C17" s="84"/>
      <c r="D17" s="85">
        <f>SUM(D5:D16)*9</f>
        <v>85832.921699999992</v>
      </c>
      <c r="E17" s="88" t="e">
        <f>SUM(E5:E16)*9</f>
        <v>#REF!</v>
      </c>
      <c r="F17" s="85">
        <f>SUM(F5:F16)*9</f>
        <v>1235.9627748882549</v>
      </c>
      <c r="G17" s="85" t="e">
        <f>SUM(G5:G16)*9</f>
        <v>#REF!</v>
      </c>
      <c r="H17" s="85" t="e">
        <f>SUM(H5:H16)*9</f>
        <v>#REF!</v>
      </c>
      <c r="I17" s="84"/>
      <c r="J17" s="102" t="e">
        <f>AVERAGE(J5:J16)</f>
        <v>#REF!</v>
      </c>
    </row>
    <row r="18" spans="1:14">
      <c r="M18" s="94"/>
      <c r="N18" s="94"/>
    </row>
    <row r="19" spans="1:14">
      <c r="B19" s="231" t="s">
        <v>82</v>
      </c>
      <c r="C19" s="231"/>
      <c r="D19" s="82" t="e">
        <f>+#REF!</f>
        <v>#REF!</v>
      </c>
      <c r="E19" s="232" t="e">
        <f>D19/D20</f>
        <v>#REF!</v>
      </c>
      <c r="L19" s="72"/>
    </row>
    <row r="20" spans="1:14">
      <c r="B20" s="233" t="s">
        <v>88</v>
      </c>
      <c r="C20" s="233"/>
      <c r="D20" s="81">
        <f>D17</f>
        <v>85832.921699999992</v>
      </c>
      <c r="E20" s="232"/>
      <c r="L20" s="72"/>
      <c r="M20" s="94"/>
      <c r="N20" s="94"/>
    </row>
    <row r="21" spans="1:14" ht="15">
      <c r="A21" s="76" t="s">
        <v>93</v>
      </c>
      <c r="L21" s="72"/>
    </row>
    <row r="22" spans="1:14" ht="15" customHeight="1">
      <c r="A22" s="228" t="s">
        <v>78</v>
      </c>
      <c r="B22" s="228" t="s">
        <v>79</v>
      </c>
      <c r="C22" s="228" t="s">
        <v>80</v>
      </c>
      <c r="D22" s="228" t="s">
        <v>81</v>
      </c>
      <c r="E22" s="238" t="s">
        <v>82</v>
      </c>
      <c r="F22" s="239"/>
      <c r="G22" s="228" t="s">
        <v>83</v>
      </c>
      <c r="H22" s="99"/>
      <c r="I22" s="228" t="s">
        <v>84</v>
      </c>
      <c r="J22" s="228" t="s">
        <v>77</v>
      </c>
      <c r="L22" s="72"/>
    </row>
    <row r="23" spans="1:14" ht="38.25">
      <c r="A23" s="229"/>
      <c r="B23" s="229"/>
      <c r="C23" s="229"/>
      <c r="D23" s="229"/>
      <c r="E23" s="77" t="s">
        <v>85</v>
      </c>
      <c r="F23" s="77" t="s">
        <v>86</v>
      </c>
      <c r="G23" s="229"/>
      <c r="H23" s="100" t="s">
        <v>122</v>
      </c>
      <c r="I23" s="229"/>
      <c r="J23" s="229"/>
    </row>
    <row r="24" spans="1:14">
      <c r="A24" s="78" t="s">
        <v>47</v>
      </c>
      <c r="B24" s="78" t="s">
        <v>59</v>
      </c>
      <c r="C24" s="92">
        <v>831.95190000000002</v>
      </c>
      <c r="D24" s="92">
        <v>940.15060000000005</v>
      </c>
      <c r="E24" s="79" t="e">
        <f>D24*E38</f>
        <v>#REF!</v>
      </c>
      <c r="F24" s="79">
        <f>D24*E170</f>
        <v>13.537825829233748</v>
      </c>
      <c r="G24" s="79" t="e">
        <f>SUM(D24:F24)</f>
        <v>#REF!</v>
      </c>
      <c r="H24" s="79" t="e">
        <f t="shared" ref="H24:H35" si="3">ROUND(G24,0)</f>
        <v>#REF!</v>
      </c>
      <c r="I24" s="98">
        <v>9</v>
      </c>
      <c r="J24" s="101" t="e">
        <f t="shared" ref="J24:J35" si="4">C24/H24</f>
        <v>#REF!</v>
      </c>
    </row>
    <row r="25" spans="1:14">
      <c r="A25" s="78" t="s">
        <v>48</v>
      </c>
      <c r="B25" s="78" t="s">
        <v>41</v>
      </c>
      <c r="C25" s="92">
        <v>652.21019999999999</v>
      </c>
      <c r="D25" s="92">
        <v>755.32529999999997</v>
      </c>
      <c r="E25" s="79" t="e">
        <f>+D25*E38</f>
        <v>#REF!</v>
      </c>
      <c r="F25" s="79">
        <f>D25*E170</f>
        <v>10.876408902801028</v>
      </c>
      <c r="G25" s="79" t="e">
        <f t="shared" ref="G25:G35" si="5">SUM(D25:F25)</f>
        <v>#REF!</v>
      </c>
      <c r="H25" s="79" t="e">
        <f t="shared" si="3"/>
        <v>#REF!</v>
      </c>
      <c r="I25" s="98">
        <v>9</v>
      </c>
      <c r="J25" s="101" t="e">
        <f t="shared" si="4"/>
        <v>#REF!</v>
      </c>
    </row>
    <row r="26" spans="1:14">
      <c r="A26" s="78" t="s">
        <v>49</v>
      </c>
      <c r="B26" s="78" t="s">
        <v>41</v>
      </c>
      <c r="C26" s="92">
        <v>664.50229999999999</v>
      </c>
      <c r="D26" s="92">
        <v>769.44269999999995</v>
      </c>
      <c r="E26" s="79" t="e">
        <f>+D26*E38</f>
        <v>#REF!</v>
      </c>
      <c r="F26" s="79">
        <f>D26*E170</f>
        <v>11.079694315118614</v>
      </c>
      <c r="G26" s="79" t="e">
        <f t="shared" si="5"/>
        <v>#REF!</v>
      </c>
      <c r="H26" s="79" t="e">
        <f t="shared" si="3"/>
        <v>#REF!</v>
      </c>
      <c r="I26" s="98">
        <v>9</v>
      </c>
      <c r="J26" s="101" t="e">
        <f t="shared" si="4"/>
        <v>#REF!</v>
      </c>
    </row>
    <row r="27" spans="1:14">
      <c r="A27" s="78" t="s">
        <v>50</v>
      </c>
      <c r="B27" s="78" t="s">
        <v>41</v>
      </c>
      <c r="C27" s="92">
        <v>652.21019999999999</v>
      </c>
      <c r="D27" s="92">
        <v>755.32529999999997</v>
      </c>
      <c r="E27" s="79" t="e">
        <f>+D27*E38</f>
        <v>#REF!</v>
      </c>
      <c r="F27" s="79">
        <f>D27*E170</f>
        <v>10.876408902801028</v>
      </c>
      <c r="G27" s="79" t="e">
        <f t="shared" si="5"/>
        <v>#REF!</v>
      </c>
      <c r="H27" s="79" t="e">
        <f t="shared" si="3"/>
        <v>#REF!</v>
      </c>
      <c r="I27" s="98">
        <v>9</v>
      </c>
      <c r="J27" s="101" t="e">
        <f t="shared" si="4"/>
        <v>#REF!</v>
      </c>
    </row>
    <row r="28" spans="1:14">
      <c r="A28" s="78" t="s">
        <v>51</v>
      </c>
      <c r="B28" s="78" t="s">
        <v>41</v>
      </c>
      <c r="C28" s="92">
        <v>664.50229999999999</v>
      </c>
      <c r="D28" s="92">
        <v>769.44269999999995</v>
      </c>
      <c r="E28" s="79" t="e">
        <f>D28*E38</f>
        <v>#REF!</v>
      </c>
      <c r="F28" s="79">
        <f>D28*E170</f>
        <v>11.079694315118614</v>
      </c>
      <c r="G28" s="79" t="e">
        <f t="shared" si="5"/>
        <v>#REF!</v>
      </c>
      <c r="H28" s="79" t="e">
        <f t="shared" si="3"/>
        <v>#REF!</v>
      </c>
      <c r="I28" s="98">
        <v>9</v>
      </c>
      <c r="J28" s="101" t="e">
        <f t="shared" si="4"/>
        <v>#REF!</v>
      </c>
    </row>
    <row r="29" spans="1:14">
      <c r="A29" s="78" t="s">
        <v>52</v>
      </c>
      <c r="B29" s="78" t="s">
        <v>41</v>
      </c>
      <c r="C29" s="92">
        <v>652.21019999999999</v>
      </c>
      <c r="D29" s="92">
        <v>755.32529999999997</v>
      </c>
      <c r="E29" s="79" t="e">
        <f>D29*E38</f>
        <v>#REF!</v>
      </c>
      <c r="F29" s="79">
        <f>D29*E170</f>
        <v>10.876408902801028</v>
      </c>
      <c r="G29" s="79" t="e">
        <f t="shared" si="5"/>
        <v>#REF!</v>
      </c>
      <c r="H29" s="79" t="e">
        <f t="shared" si="3"/>
        <v>#REF!</v>
      </c>
      <c r="I29" s="98">
        <v>9</v>
      </c>
      <c r="J29" s="101" t="e">
        <f t="shared" si="4"/>
        <v>#REF!</v>
      </c>
    </row>
    <row r="30" spans="1:14">
      <c r="A30" s="78" t="s">
        <v>53</v>
      </c>
      <c r="B30" s="83" t="s">
        <v>41</v>
      </c>
      <c r="C30" s="92">
        <v>664.50229999999999</v>
      </c>
      <c r="D30" s="92">
        <v>769.44269999999995</v>
      </c>
      <c r="E30" s="79" t="e">
        <f>D30*E38</f>
        <v>#REF!</v>
      </c>
      <c r="F30" s="79">
        <f>D30*E170</f>
        <v>11.079694315118614</v>
      </c>
      <c r="G30" s="79" t="e">
        <f t="shared" si="5"/>
        <v>#REF!</v>
      </c>
      <c r="H30" s="79" t="e">
        <f t="shared" si="3"/>
        <v>#REF!</v>
      </c>
      <c r="I30" s="98">
        <v>9</v>
      </c>
      <c r="J30" s="101" t="e">
        <f t="shared" si="4"/>
        <v>#REF!</v>
      </c>
    </row>
    <row r="31" spans="1:14">
      <c r="A31" s="78" t="s">
        <v>54</v>
      </c>
      <c r="B31" s="83" t="s">
        <v>41</v>
      </c>
      <c r="C31" s="92">
        <v>661.23609999999996</v>
      </c>
      <c r="D31" s="92">
        <v>765.37929999999994</v>
      </c>
      <c r="E31" s="79" t="e">
        <f>D31*E38</f>
        <v>#REF!</v>
      </c>
      <c r="F31" s="79">
        <f>D31*E170</f>
        <v>11.021182836771944</v>
      </c>
      <c r="G31" s="79" t="e">
        <f t="shared" si="5"/>
        <v>#REF!</v>
      </c>
      <c r="H31" s="79" t="e">
        <f t="shared" si="3"/>
        <v>#REF!</v>
      </c>
      <c r="I31" s="98">
        <v>9</v>
      </c>
      <c r="J31" s="101" t="e">
        <f t="shared" si="4"/>
        <v>#REF!</v>
      </c>
    </row>
    <row r="32" spans="1:14">
      <c r="A32" s="78" t="s">
        <v>55</v>
      </c>
      <c r="B32" s="83" t="s">
        <v>41</v>
      </c>
      <c r="C32" s="92">
        <v>669.7165</v>
      </c>
      <c r="D32" s="92">
        <v>775.00459999999998</v>
      </c>
      <c r="E32" s="79" t="e">
        <f>+D32*E38</f>
        <v>#REF!</v>
      </c>
      <c r="F32" s="79">
        <f>D32*E170</f>
        <v>11.159783647061406</v>
      </c>
      <c r="G32" s="79" t="e">
        <f t="shared" si="5"/>
        <v>#REF!</v>
      </c>
      <c r="H32" s="79" t="e">
        <f t="shared" si="3"/>
        <v>#REF!</v>
      </c>
      <c r="I32" s="98">
        <v>9</v>
      </c>
      <c r="J32" s="101" t="e">
        <f t="shared" si="4"/>
        <v>#REF!</v>
      </c>
    </row>
    <row r="33" spans="1:10">
      <c r="A33" s="78" t="s">
        <v>56</v>
      </c>
      <c r="B33" s="78" t="s">
        <v>41</v>
      </c>
      <c r="C33" s="92">
        <v>667.94579999999996</v>
      </c>
      <c r="D33" s="92">
        <v>771.00109999999995</v>
      </c>
      <c r="E33" s="78" t="e">
        <f>+D33*E38</f>
        <v>#REF!</v>
      </c>
      <c r="F33" s="79">
        <f>D33*E170</f>
        <v>11.102134706873166</v>
      </c>
      <c r="G33" s="79" t="e">
        <f t="shared" si="5"/>
        <v>#REF!</v>
      </c>
      <c r="H33" s="79" t="e">
        <f t="shared" si="3"/>
        <v>#REF!</v>
      </c>
      <c r="I33" s="98">
        <v>9</v>
      </c>
      <c r="J33" s="101" t="e">
        <f t="shared" si="4"/>
        <v>#REF!</v>
      </c>
    </row>
    <row r="34" spans="1:10">
      <c r="A34" s="83" t="s">
        <v>91</v>
      </c>
      <c r="B34" s="78" t="s">
        <v>59</v>
      </c>
      <c r="C34" s="92">
        <v>831.95190000000002</v>
      </c>
      <c r="D34" s="92">
        <v>940.15060000000005</v>
      </c>
      <c r="E34" s="78" t="e">
        <f>D34*E38</f>
        <v>#REF!</v>
      </c>
      <c r="F34" s="79">
        <f>D34*E170</f>
        <v>13.537825829233748</v>
      </c>
      <c r="G34" s="79" t="e">
        <f t="shared" si="5"/>
        <v>#REF!</v>
      </c>
      <c r="H34" s="79" t="e">
        <f t="shared" si="3"/>
        <v>#REF!</v>
      </c>
      <c r="I34" s="98">
        <v>9</v>
      </c>
      <c r="J34" s="101" t="e">
        <f t="shared" si="4"/>
        <v>#REF!</v>
      </c>
    </row>
    <row r="35" spans="1:10">
      <c r="A35" s="83" t="s">
        <v>92</v>
      </c>
      <c r="B35" s="78" t="s">
        <v>41</v>
      </c>
      <c r="C35" s="92">
        <v>667.94579999999996</v>
      </c>
      <c r="D35" s="92">
        <v>771.00109999999995</v>
      </c>
      <c r="E35" s="78" t="e">
        <f>D35*E38</f>
        <v>#REF!</v>
      </c>
      <c r="F35" s="79">
        <f>D35*E170</f>
        <v>11.102134706873166</v>
      </c>
      <c r="G35" s="79" t="e">
        <f t="shared" si="5"/>
        <v>#REF!</v>
      </c>
      <c r="H35" s="79" t="e">
        <f t="shared" si="3"/>
        <v>#REF!</v>
      </c>
      <c r="I35" s="98">
        <v>9</v>
      </c>
      <c r="J35" s="101" t="e">
        <f t="shared" si="4"/>
        <v>#REF!</v>
      </c>
    </row>
    <row r="36" spans="1:10">
      <c r="A36" s="83" t="s">
        <v>87</v>
      </c>
      <c r="B36" s="84"/>
      <c r="C36" s="84"/>
      <c r="D36" s="85">
        <f>SUM(D24:D35)*9</f>
        <v>85832.921699999992</v>
      </c>
      <c r="E36" s="88" t="e">
        <f>SUM(E24:E35)*9</f>
        <v>#REF!</v>
      </c>
      <c r="F36" s="85">
        <f>SUM(F24:F35)*9</f>
        <v>1235.9627748882549</v>
      </c>
      <c r="G36" s="85" t="e">
        <f>SUM(G24:G35)*9</f>
        <v>#REF!</v>
      </c>
      <c r="H36" s="85" t="e">
        <f>SUM(H24:H35)*9</f>
        <v>#REF!</v>
      </c>
      <c r="I36" s="84"/>
      <c r="J36" s="102" t="e">
        <f>AVERAGE(J24:J35)</f>
        <v>#REF!</v>
      </c>
    </row>
    <row r="38" spans="1:10">
      <c r="B38" s="231" t="s">
        <v>82</v>
      </c>
      <c r="C38" s="231"/>
      <c r="D38" s="82" t="e">
        <f>+#REF!</f>
        <v>#REF!</v>
      </c>
      <c r="E38" s="232" t="e">
        <f>D38/D39</f>
        <v>#REF!</v>
      </c>
    </row>
    <row r="39" spans="1:10">
      <c r="B39" s="233" t="s">
        <v>88</v>
      </c>
      <c r="C39" s="233"/>
      <c r="D39" s="81">
        <f>D36</f>
        <v>85832.921699999992</v>
      </c>
      <c r="E39" s="232"/>
    </row>
    <row r="40" spans="1:10" ht="15">
      <c r="A40" s="76" t="s">
        <v>90</v>
      </c>
    </row>
    <row r="41" spans="1:10" ht="15">
      <c r="A41" s="76" t="s">
        <v>106</v>
      </c>
    </row>
    <row r="42" spans="1:10" ht="15" customHeight="1">
      <c r="A42" s="228" t="s">
        <v>78</v>
      </c>
      <c r="B42" s="228" t="s">
        <v>79</v>
      </c>
      <c r="C42" s="228" t="s">
        <v>80</v>
      </c>
      <c r="D42" s="228" t="s">
        <v>81</v>
      </c>
      <c r="E42" s="238" t="s">
        <v>82</v>
      </c>
      <c r="F42" s="239"/>
      <c r="G42" s="228" t="s">
        <v>83</v>
      </c>
      <c r="H42" s="235" t="s">
        <v>122</v>
      </c>
      <c r="I42" s="228" t="s">
        <v>84</v>
      </c>
      <c r="J42" s="228" t="s">
        <v>77</v>
      </c>
    </row>
    <row r="43" spans="1:10" ht="12.75" customHeight="1">
      <c r="A43" s="229"/>
      <c r="B43" s="229"/>
      <c r="C43" s="229"/>
      <c r="D43" s="229"/>
      <c r="E43" s="77" t="s">
        <v>85</v>
      </c>
      <c r="F43" s="77" t="s">
        <v>86</v>
      </c>
      <c r="G43" s="229"/>
      <c r="H43" s="229"/>
      <c r="I43" s="229"/>
      <c r="J43" s="229"/>
    </row>
    <row r="44" spans="1:10">
      <c r="A44" s="96">
        <v>101</v>
      </c>
      <c r="B44" s="78" t="s">
        <v>59</v>
      </c>
      <c r="C44" s="92">
        <v>831.95190000000002</v>
      </c>
      <c r="D44" s="92">
        <v>940.14750000000004</v>
      </c>
      <c r="E44" s="79" t="e">
        <f>D44*E138</f>
        <v>#REF!</v>
      </c>
      <c r="F44" s="79">
        <f>D44*E170</f>
        <v>13.537781190364113</v>
      </c>
      <c r="G44" s="79" t="e">
        <f>SUM(D44:F44)</f>
        <v>#REF!</v>
      </c>
      <c r="H44" s="79" t="e">
        <f t="shared" ref="H44:H52" si="6">ROUND(G44,0)</f>
        <v>#REF!</v>
      </c>
      <c r="I44" s="98">
        <v>1</v>
      </c>
      <c r="J44" s="101" t="e">
        <f t="shared" ref="J44:J52" si="7">C44/H44</f>
        <v>#REF!</v>
      </c>
    </row>
    <row r="45" spans="1:10">
      <c r="A45" s="96">
        <v>102</v>
      </c>
      <c r="B45" s="78" t="s">
        <v>41</v>
      </c>
      <c r="C45" s="92">
        <v>652.21050000000002</v>
      </c>
      <c r="D45" s="92">
        <v>755.32529999999997</v>
      </c>
      <c r="E45" s="79" t="e">
        <f>+D45*E138</f>
        <v>#REF!</v>
      </c>
      <c r="F45" s="79">
        <f>D45*E170</f>
        <v>10.876408902801028</v>
      </c>
      <c r="G45" s="79" t="e">
        <f t="shared" ref="G45:G55" si="8">SUM(D45:F45)</f>
        <v>#REF!</v>
      </c>
      <c r="H45" s="79" t="e">
        <f t="shared" si="6"/>
        <v>#REF!</v>
      </c>
      <c r="I45" s="98">
        <v>1</v>
      </c>
      <c r="J45" s="101" t="e">
        <f t="shared" si="7"/>
        <v>#REF!</v>
      </c>
    </row>
    <row r="46" spans="1:10">
      <c r="A46" s="96">
        <v>103</v>
      </c>
      <c r="B46" s="78" t="s">
        <v>41</v>
      </c>
      <c r="C46" s="92">
        <v>664.5027</v>
      </c>
      <c r="D46" s="92">
        <v>769.44439999999997</v>
      </c>
      <c r="E46" s="79" t="e">
        <f>+D46*E138</f>
        <v>#REF!</v>
      </c>
      <c r="F46" s="79">
        <f>D46*E170</f>
        <v>11.079718794498737</v>
      </c>
      <c r="G46" s="79" t="e">
        <f t="shared" si="8"/>
        <v>#REF!</v>
      </c>
      <c r="H46" s="79" t="e">
        <f t="shared" si="6"/>
        <v>#REF!</v>
      </c>
      <c r="I46" s="98">
        <v>1</v>
      </c>
      <c r="J46" s="101" t="e">
        <f t="shared" si="7"/>
        <v>#REF!</v>
      </c>
    </row>
    <row r="47" spans="1:10">
      <c r="A47" s="96">
        <v>104</v>
      </c>
      <c r="B47" s="78" t="s">
        <v>41</v>
      </c>
      <c r="C47" s="92">
        <v>652.21050000000002</v>
      </c>
      <c r="D47" s="92">
        <v>755.29240000000004</v>
      </c>
      <c r="E47" s="79" t="e">
        <f>+D47*E138</f>
        <v>#REF!</v>
      </c>
      <c r="F47" s="79">
        <f>D47*E170</f>
        <v>10.875935154797485</v>
      </c>
      <c r="G47" s="79" t="e">
        <f t="shared" si="8"/>
        <v>#REF!</v>
      </c>
      <c r="H47" s="79" t="e">
        <f t="shared" si="6"/>
        <v>#REF!</v>
      </c>
      <c r="I47" s="98">
        <v>1</v>
      </c>
      <c r="J47" s="101" t="e">
        <f t="shared" si="7"/>
        <v>#REF!</v>
      </c>
    </row>
    <row r="48" spans="1:10">
      <c r="A48" s="96">
        <v>105</v>
      </c>
      <c r="B48" s="78" t="s">
        <v>41</v>
      </c>
      <c r="C48" s="92">
        <v>664.5027</v>
      </c>
      <c r="D48" s="92">
        <v>769.44439999999997</v>
      </c>
      <c r="E48" s="79" t="e">
        <f>D48*E138</f>
        <v>#REF!</v>
      </c>
      <c r="F48" s="79">
        <f>D48*E170</f>
        <v>11.079718794498737</v>
      </c>
      <c r="G48" s="79" t="e">
        <f t="shared" si="8"/>
        <v>#REF!</v>
      </c>
      <c r="H48" s="79" t="e">
        <f t="shared" si="6"/>
        <v>#REF!</v>
      </c>
      <c r="I48" s="98">
        <v>1</v>
      </c>
      <c r="J48" s="101" t="e">
        <f t="shared" si="7"/>
        <v>#REF!</v>
      </c>
    </row>
    <row r="49" spans="1:10">
      <c r="A49" s="96">
        <v>106</v>
      </c>
      <c r="B49" s="78" t="s">
        <v>41</v>
      </c>
      <c r="C49" s="92">
        <v>652.21050000000002</v>
      </c>
      <c r="D49" s="92">
        <v>759.01869999999997</v>
      </c>
      <c r="E49" s="79" t="e">
        <f>D49*E138</f>
        <v>#REF!</v>
      </c>
      <c r="F49" s="79">
        <f>D49*E170</f>
        <v>10.929592516062236</v>
      </c>
      <c r="G49" s="79" t="e">
        <f t="shared" si="8"/>
        <v>#REF!</v>
      </c>
      <c r="H49" s="79" t="e">
        <f t="shared" si="6"/>
        <v>#REF!</v>
      </c>
      <c r="I49" s="98">
        <v>1</v>
      </c>
      <c r="J49" s="101" t="e">
        <f t="shared" si="7"/>
        <v>#REF!</v>
      </c>
    </row>
    <row r="50" spans="1:10">
      <c r="A50" s="96">
        <v>107</v>
      </c>
      <c r="B50" s="78" t="s">
        <v>38</v>
      </c>
      <c r="C50" s="92">
        <v>967.96479999999997</v>
      </c>
      <c r="D50" s="92">
        <v>1098.0213000000001</v>
      </c>
      <c r="E50" s="79" t="e">
        <f>D50*E138</f>
        <v>#REF!</v>
      </c>
      <c r="F50" s="79">
        <f>D50*E170</f>
        <v>15.811106344226999</v>
      </c>
      <c r="G50" s="79" t="e">
        <f t="shared" si="8"/>
        <v>#REF!</v>
      </c>
      <c r="H50" s="79" t="e">
        <f t="shared" si="6"/>
        <v>#REF!</v>
      </c>
      <c r="I50" s="98">
        <v>1</v>
      </c>
      <c r="J50" s="101" t="e">
        <f t="shared" si="7"/>
        <v>#REF!</v>
      </c>
    </row>
    <row r="51" spans="1:10">
      <c r="A51" s="96">
        <v>108</v>
      </c>
      <c r="B51" s="78" t="s">
        <v>38</v>
      </c>
      <c r="C51" s="92">
        <v>955.62059999999997</v>
      </c>
      <c r="D51" s="92">
        <v>1084.5054</v>
      </c>
      <c r="E51" s="79" t="e">
        <f>D51*E138</f>
        <v>#REF!</v>
      </c>
      <c r="F51" s="79">
        <f>D51*E170</f>
        <v>15.61648231258213</v>
      </c>
      <c r="G51" s="79" t="e">
        <f t="shared" si="8"/>
        <v>#REF!</v>
      </c>
      <c r="H51" s="79" t="e">
        <f t="shared" si="6"/>
        <v>#REF!</v>
      </c>
      <c r="I51" s="98">
        <v>1</v>
      </c>
      <c r="J51" s="101" t="e">
        <f t="shared" si="7"/>
        <v>#REF!</v>
      </c>
    </row>
    <row r="52" spans="1:10">
      <c r="A52" s="96">
        <v>109</v>
      </c>
      <c r="B52" s="78" t="s">
        <v>59</v>
      </c>
      <c r="C52" s="92">
        <v>832.01049999999998</v>
      </c>
      <c r="D52" s="92">
        <v>941.40449999999998</v>
      </c>
      <c r="E52" s="79" t="e">
        <f>+D52*E138</f>
        <v>#REF!</v>
      </c>
      <c r="F52" s="79">
        <f>D52*E170</f>
        <v>13.555881532019319</v>
      </c>
      <c r="G52" s="79" t="e">
        <f t="shared" si="8"/>
        <v>#REF!</v>
      </c>
      <c r="H52" s="79" t="e">
        <f t="shared" si="6"/>
        <v>#REF!</v>
      </c>
      <c r="I52" s="98">
        <v>1</v>
      </c>
      <c r="J52" s="101" t="e">
        <f t="shared" si="7"/>
        <v>#REF!</v>
      </c>
    </row>
    <row r="53" spans="1:10">
      <c r="A53" s="96">
        <v>110</v>
      </c>
      <c r="B53" s="83" t="s">
        <v>103</v>
      </c>
      <c r="C53" s="92"/>
      <c r="D53" s="92"/>
      <c r="E53" s="78"/>
      <c r="F53" s="79"/>
      <c r="G53" s="79"/>
      <c r="H53" s="79"/>
      <c r="I53" s="79"/>
      <c r="J53" s="79"/>
    </row>
    <row r="54" spans="1:10">
      <c r="A54" s="97">
        <v>111</v>
      </c>
      <c r="B54" s="83" t="s">
        <v>103</v>
      </c>
      <c r="C54" s="92"/>
      <c r="D54" s="92"/>
      <c r="E54" s="78"/>
      <c r="F54" s="79"/>
      <c r="G54" s="79"/>
      <c r="H54" s="79"/>
      <c r="I54" s="79"/>
      <c r="J54" s="79"/>
    </row>
    <row r="55" spans="1:10">
      <c r="A55" s="97">
        <v>112</v>
      </c>
      <c r="B55" s="78" t="s">
        <v>41</v>
      </c>
      <c r="C55" s="92">
        <v>667.94579999999996</v>
      </c>
      <c r="D55" s="92">
        <v>771.00390000000004</v>
      </c>
      <c r="E55" s="78" t="e">
        <f>D55*E138</f>
        <v>#REF!</v>
      </c>
      <c r="F55" s="79">
        <f>D55*E170</f>
        <v>11.102175025852192</v>
      </c>
      <c r="G55" s="79" t="e">
        <f t="shared" si="8"/>
        <v>#REF!</v>
      </c>
      <c r="H55" s="79" t="e">
        <f t="shared" ref="H55" si="9">ROUND(G55,0)</f>
        <v>#REF!</v>
      </c>
      <c r="I55" s="98">
        <v>1</v>
      </c>
      <c r="J55" s="101" t="e">
        <f t="shared" ref="J55" si="10">C55/H55</f>
        <v>#REF!</v>
      </c>
    </row>
    <row r="56" spans="1:10">
      <c r="A56" s="83" t="s">
        <v>87</v>
      </c>
      <c r="B56" s="84"/>
      <c r="C56" s="84"/>
      <c r="D56" s="85">
        <f>SUM(D44:D55)</f>
        <v>8643.6077999999998</v>
      </c>
      <c r="E56" s="88" t="e">
        <f>SUM(E44:E55)</f>
        <v>#REF!</v>
      </c>
      <c r="F56" s="85">
        <f>SUM(F44:F55)</f>
        <v>124.46480056770298</v>
      </c>
      <c r="G56" s="85" t="e">
        <f>SUM(G44:G55)</f>
        <v>#REF!</v>
      </c>
      <c r="H56" s="85" t="e">
        <f>SUM(H44:H55)</f>
        <v>#REF!</v>
      </c>
      <c r="I56" s="84"/>
      <c r="J56" s="102" t="e">
        <f>AVERAGE(J44:J55)</f>
        <v>#REF!</v>
      </c>
    </row>
    <row r="57" spans="1:10">
      <c r="A57" s="80"/>
      <c r="D57" s="86"/>
      <c r="E57" s="95"/>
      <c r="F57" s="86"/>
      <c r="G57" s="86"/>
      <c r="H57" s="86"/>
      <c r="J57" s="86"/>
    </row>
    <row r="58" spans="1:10" ht="15">
      <c r="A58" s="76" t="s">
        <v>105</v>
      </c>
    </row>
    <row r="59" spans="1:10" ht="38.25" customHeight="1">
      <c r="A59" s="228" t="s">
        <v>78</v>
      </c>
      <c r="B59" s="228" t="s">
        <v>79</v>
      </c>
      <c r="C59" s="228" t="s">
        <v>80</v>
      </c>
      <c r="D59" s="228" t="s">
        <v>81</v>
      </c>
      <c r="E59" s="238" t="s">
        <v>82</v>
      </c>
      <c r="F59" s="239"/>
      <c r="G59" s="228" t="s">
        <v>83</v>
      </c>
      <c r="H59" s="235" t="s">
        <v>122</v>
      </c>
      <c r="I59" s="228" t="s">
        <v>84</v>
      </c>
      <c r="J59" s="228" t="s">
        <v>77</v>
      </c>
    </row>
    <row r="60" spans="1:10" ht="38.25">
      <c r="A60" s="229"/>
      <c r="B60" s="229"/>
      <c r="C60" s="229"/>
      <c r="D60" s="229"/>
      <c r="E60" s="77" t="s">
        <v>85</v>
      </c>
      <c r="F60" s="77" t="s">
        <v>86</v>
      </c>
      <c r="G60" s="229"/>
      <c r="H60" s="229"/>
      <c r="I60" s="229"/>
      <c r="J60" s="229"/>
    </row>
    <row r="61" spans="1:10">
      <c r="A61" s="83" t="s">
        <v>108</v>
      </c>
      <c r="B61" s="78" t="s">
        <v>59</v>
      </c>
      <c r="C61" s="92">
        <v>831.95190000000002</v>
      </c>
      <c r="D61" s="92">
        <v>940.14750000000004</v>
      </c>
      <c r="E61" s="79" t="e">
        <f>+D61*E138</f>
        <v>#REF!</v>
      </c>
      <c r="F61" s="79">
        <f>+D61*E170</f>
        <v>13.537781190364113</v>
      </c>
      <c r="G61" s="79" t="e">
        <f>SUM(D61:F61)</f>
        <v>#REF!</v>
      </c>
      <c r="H61" s="79" t="e">
        <f t="shared" ref="H61:H72" si="11">ROUND(G61,0)</f>
        <v>#REF!</v>
      </c>
      <c r="I61" s="98">
        <v>7</v>
      </c>
      <c r="J61" s="101" t="e">
        <f t="shared" ref="J61:J72" si="12">C61/H61</f>
        <v>#REF!</v>
      </c>
    </row>
    <row r="62" spans="1:10">
      <c r="A62" s="83" t="s">
        <v>109</v>
      </c>
      <c r="B62" s="78" t="s">
        <v>41</v>
      </c>
      <c r="C62" s="92">
        <v>652.21050000000002</v>
      </c>
      <c r="D62" s="92">
        <v>755.32529999999997</v>
      </c>
      <c r="E62" s="79" t="e">
        <f>+D62*E138</f>
        <v>#REF!</v>
      </c>
      <c r="F62" s="79">
        <f>+D62*E170</f>
        <v>10.876408902801028</v>
      </c>
      <c r="G62" s="79" t="e">
        <f t="shared" ref="G62:G72" si="13">SUM(D62:F62)</f>
        <v>#REF!</v>
      </c>
      <c r="H62" s="79" t="e">
        <f t="shared" si="11"/>
        <v>#REF!</v>
      </c>
      <c r="I62" s="98">
        <v>7</v>
      </c>
      <c r="J62" s="101" t="e">
        <f t="shared" si="12"/>
        <v>#REF!</v>
      </c>
    </row>
    <row r="63" spans="1:10">
      <c r="A63" s="83" t="s">
        <v>110</v>
      </c>
      <c r="B63" s="78" t="s">
        <v>41</v>
      </c>
      <c r="C63" s="92">
        <v>664.5027</v>
      </c>
      <c r="D63" s="92">
        <v>769.44439999999997</v>
      </c>
      <c r="E63" s="79" t="e">
        <f>+D63*E138</f>
        <v>#REF!</v>
      </c>
      <c r="F63" s="79">
        <f>+D63*E170</f>
        <v>11.079718794498737</v>
      </c>
      <c r="G63" s="79" t="e">
        <f t="shared" si="13"/>
        <v>#REF!</v>
      </c>
      <c r="H63" s="79" t="e">
        <f t="shared" si="11"/>
        <v>#REF!</v>
      </c>
      <c r="I63" s="98">
        <v>7</v>
      </c>
      <c r="J63" s="101" t="e">
        <f t="shared" si="12"/>
        <v>#REF!</v>
      </c>
    </row>
    <row r="64" spans="1:10">
      <c r="A64" s="83" t="s">
        <v>111</v>
      </c>
      <c r="B64" s="78" t="s">
        <v>41</v>
      </c>
      <c r="C64" s="92">
        <v>652.21050000000002</v>
      </c>
      <c r="D64" s="92">
        <v>755.29240000000004</v>
      </c>
      <c r="E64" s="79" t="e">
        <f>+D64*E138</f>
        <v>#REF!</v>
      </c>
      <c r="F64" s="79">
        <f>+D64*E170</f>
        <v>10.875935154797485</v>
      </c>
      <c r="G64" s="79" t="e">
        <f t="shared" si="13"/>
        <v>#REF!</v>
      </c>
      <c r="H64" s="79" t="e">
        <f t="shared" si="11"/>
        <v>#REF!</v>
      </c>
      <c r="I64" s="98">
        <v>7</v>
      </c>
      <c r="J64" s="101" t="e">
        <f t="shared" si="12"/>
        <v>#REF!</v>
      </c>
    </row>
    <row r="65" spans="1:10">
      <c r="A65" s="83" t="s">
        <v>112</v>
      </c>
      <c r="B65" s="78" t="s">
        <v>41</v>
      </c>
      <c r="C65" s="92">
        <v>664.5027</v>
      </c>
      <c r="D65" s="92">
        <v>769.44100000000003</v>
      </c>
      <c r="E65" s="79" t="e">
        <f>+D65*E138</f>
        <v>#REF!</v>
      </c>
      <c r="F65" s="79">
        <f>+D65*E170</f>
        <v>11.079669835738493</v>
      </c>
      <c r="G65" s="79" t="e">
        <f t="shared" si="13"/>
        <v>#REF!</v>
      </c>
      <c r="H65" s="79" t="e">
        <f t="shared" si="11"/>
        <v>#REF!</v>
      </c>
      <c r="I65" s="98">
        <v>7</v>
      </c>
      <c r="J65" s="101" t="e">
        <f t="shared" si="12"/>
        <v>#REF!</v>
      </c>
    </row>
    <row r="66" spans="1:10">
      <c r="A66" s="83" t="s">
        <v>113</v>
      </c>
      <c r="B66" s="78" t="s">
        <v>41</v>
      </c>
      <c r="C66" s="92">
        <v>652.21050000000002</v>
      </c>
      <c r="D66" s="92">
        <v>759.01869999999997</v>
      </c>
      <c r="E66" s="79" t="e">
        <f>+D66*E138</f>
        <v>#REF!</v>
      </c>
      <c r="F66" s="79">
        <f>+D66*E170</f>
        <v>10.929592516062236</v>
      </c>
      <c r="G66" s="79" t="e">
        <f t="shared" si="13"/>
        <v>#REF!</v>
      </c>
      <c r="H66" s="79" t="e">
        <f t="shared" si="11"/>
        <v>#REF!</v>
      </c>
      <c r="I66" s="98">
        <v>7</v>
      </c>
      <c r="J66" s="101" t="e">
        <f t="shared" si="12"/>
        <v>#REF!</v>
      </c>
    </row>
    <row r="67" spans="1:10">
      <c r="A67" s="83" t="s">
        <v>114</v>
      </c>
      <c r="B67" s="78" t="s">
        <v>38</v>
      </c>
      <c r="C67" s="92">
        <v>967.96479999999997</v>
      </c>
      <c r="D67" s="92">
        <v>1098.0213000000001</v>
      </c>
      <c r="E67" s="79" t="e">
        <f>+D67*E138</f>
        <v>#REF!</v>
      </c>
      <c r="F67" s="79">
        <f>+D67*E170</f>
        <v>15.811106344226999</v>
      </c>
      <c r="G67" s="79" t="e">
        <f t="shared" si="13"/>
        <v>#REF!</v>
      </c>
      <c r="H67" s="79" t="e">
        <f t="shared" si="11"/>
        <v>#REF!</v>
      </c>
      <c r="I67" s="98">
        <v>7</v>
      </c>
      <c r="J67" s="101" t="e">
        <f t="shared" si="12"/>
        <v>#REF!</v>
      </c>
    </row>
    <row r="68" spans="1:10">
      <c r="A68" s="83" t="s">
        <v>115</v>
      </c>
      <c r="B68" s="78" t="s">
        <v>38</v>
      </c>
      <c r="C68" s="92">
        <v>955.62059999999997</v>
      </c>
      <c r="D68" s="92">
        <v>1084.5054</v>
      </c>
      <c r="E68" s="79" t="e">
        <f>+D68*E138</f>
        <v>#REF!</v>
      </c>
      <c r="F68" s="79">
        <f>+D68*E170</f>
        <v>15.61648231258213</v>
      </c>
      <c r="G68" s="79" t="e">
        <f t="shared" si="13"/>
        <v>#REF!</v>
      </c>
      <c r="H68" s="79" t="e">
        <f t="shared" si="11"/>
        <v>#REF!</v>
      </c>
      <c r="I68" s="98">
        <v>7</v>
      </c>
      <c r="J68" s="101" t="e">
        <f t="shared" si="12"/>
        <v>#REF!</v>
      </c>
    </row>
    <row r="69" spans="1:10">
      <c r="A69" s="83" t="s">
        <v>116</v>
      </c>
      <c r="B69" s="78" t="s">
        <v>59</v>
      </c>
      <c r="C69" s="92">
        <v>832.01049999999998</v>
      </c>
      <c r="D69" s="92">
        <v>941.40449999999998</v>
      </c>
      <c r="E69" s="79" t="e">
        <f>+D69*E138</f>
        <v>#REF!</v>
      </c>
      <c r="F69" s="79">
        <f>+D69*E170</f>
        <v>13.555881532019319</v>
      </c>
      <c r="G69" s="79" t="e">
        <f t="shared" si="13"/>
        <v>#REF!</v>
      </c>
      <c r="H69" s="79" t="e">
        <f t="shared" si="11"/>
        <v>#REF!</v>
      </c>
      <c r="I69" s="98">
        <v>7</v>
      </c>
      <c r="J69" s="101" t="e">
        <f t="shared" si="12"/>
        <v>#REF!</v>
      </c>
    </row>
    <row r="70" spans="1:10">
      <c r="A70" s="83" t="s">
        <v>117</v>
      </c>
      <c r="B70" s="78" t="s">
        <v>41</v>
      </c>
      <c r="C70" s="92">
        <v>652.18780000000004</v>
      </c>
      <c r="D70" s="92">
        <v>759.25900000000001</v>
      </c>
      <c r="E70" s="78" t="e">
        <f>+D70*E138</f>
        <v>#REF!</v>
      </c>
      <c r="F70" s="79">
        <f>+D70*E170</f>
        <v>10.933052748440714</v>
      </c>
      <c r="G70" s="79" t="e">
        <f t="shared" si="13"/>
        <v>#REF!</v>
      </c>
      <c r="H70" s="79" t="e">
        <f t="shared" si="11"/>
        <v>#REF!</v>
      </c>
      <c r="I70" s="98">
        <v>7</v>
      </c>
      <c r="J70" s="101" t="e">
        <f t="shared" si="12"/>
        <v>#REF!</v>
      </c>
    </row>
    <row r="71" spans="1:10">
      <c r="A71" s="83" t="s">
        <v>118</v>
      </c>
      <c r="B71" s="78" t="s">
        <v>41</v>
      </c>
      <c r="C71" s="92">
        <v>667.95899999999995</v>
      </c>
      <c r="D71" s="92">
        <v>770.61149999999998</v>
      </c>
      <c r="E71" s="78" t="e">
        <f>+D71*E138</f>
        <v>#REF!</v>
      </c>
      <c r="F71" s="79">
        <f>+D71*E170</f>
        <v>11.096524608934528</v>
      </c>
      <c r="G71" s="79" t="e">
        <f t="shared" si="13"/>
        <v>#REF!</v>
      </c>
      <c r="H71" s="79" t="e">
        <f t="shared" si="11"/>
        <v>#REF!</v>
      </c>
      <c r="I71" s="98">
        <v>7</v>
      </c>
      <c r="J71" s="101" t="e">
        <f t="shared" si="12"/>
        <v>#REF!</v>
      </c>
    </row>
    <row r="72" spans="1:10">
      <c r="A72" s="83" t="s">
        <v>119</v>
      </c>
      <c r="B72" s="78" t="s">
        <v>41</v>
      </c>
      <c r="C72" s="92">
        <v>667.94579999999996</v>
      </c>
      <c r="D72" s="92">
        <v>771.00390000000004</v>
      </c>
      <c r="E72" s="78" t="e">
        <f>+D72*E138</f>
        <v>#REF!</v>
      </c>
      <c r="F72" s="79">
        <f>+D72*E170</f>
        <v>11.102175025852192</v>
      </c>
      <c r="G72" s="79" t="e">
        <f t="shared" si="13"/>
        <v>#REF!</v>
      </c>
      <c r="H72" s="79" t="e">
        <f t="shared" si="11"/>
        <v>#REF!</v>
      </c>
      <c r="I72" s="98">
        <v>7</v>
      </c>
      <c r="J72" s="101" t="e">
        <f t="shared" si="12"/>
        <v>#REF!</v>
      </c>
    </row>
    <row r="73" spans="1:10">
      <c r="A73" s="83" t="s">
        <v>87</v>
      </c>
      <c r="B73" s="84"/>
      <c r="C73" s="84"/>
      <c r="D73" s="85">
        <f>SUM(D61:D72)*7</f>
        <v>71214.324299999978</v>
      </c>
      <c r="E73" s="88" t="e">
        <f>SUM(E61:E72)*7</f>
        <v>#REF!</v>
      </c>
      <c r="F73" s="85">
        <f>SUM(F61:F72)*7</f>
        <v>1025.4603027642261</v>
      </c>
      <c r="G73" s="85" t="e">
        <f>SUM(G61:G72)*7</f>
        <v>#REF!</v>
      </c>
      <c r="H73" s="85" t="e">
        <f>SUM(H61:H72)*7</f>
        <v>#REF!</v>
      </c>
      <c r="I73" s="84"/>
      <c r="J73" s="102" t="e">
        <f>AVERAGE(J61:J72)</f>
        <v>#REF!</v>
      </c>
    </row>
    <row r="74" spans="1:10">
      <c r="A74" s="80"/>
      <c r="D74" s="86"/>
      <c r="E74" s="95"/>
      <c r="F74" s="86"/>
      <c r="G74" s="86"/>
      <c r="H74" s="86"/>
      <c r="J74" s="86"/>
    </row>
    <row r="75" spans="1:10" ht="15">
      <c r="A75" s="76" t="s">
        <v>104</v>
      </c>
    </row>
    <row r="76" spans="1:10" ht="15">
      <c r="A76" s="228" t="s">
        <v>78</v>
      </c>
      <c r="B76" s="228" t="s">
        <v>79</v>
      </c>
      <c r="C76" s="228" t="s">
        <v>80</v>
      </c>
      <c r="D76" s="228" t="s">
        <v>81</v>
      </c>
      <c r="E76" s="238" t="s">
        <v>82</v>
      </c>
      <c r="F76" s="239"/>
      <c r="G76" s="228" t="s">
        <v>83</v>
      </c>
      <c r="H76" s="235" t="s">
        <v>122</v>
      </c>
      <c r="I76" s="228" t="s">
        <v>84</v>
      </c>
      <c r="J76" s="228" t="s">
        <v>77</v>
      </c>
    </row>
    <row r="77" spans="1:10" ht="38.25">
      <c r="A77" s="229"/>
      <c r="B77" s="229"/>
      <c r="C77" s="229"/>
      <c r="D77" s="229"/>
      <c r="E77" s="77" t="s">
        <v>85</v>
      </c>
      <c r="F77" s="77" t="s">
        <v>86</v>
      </c>
      <c r="G77" s="229"/>
      <c r="H77" s="229"/>
      <c r="I77" s="229"/>
      <c r="J77" s="229"/>
    </row>
    <row r="78" spans="1:10">
      <c r="A78" s="96">
        <v>901</v>
      </c>
      <c r="B78" s="78" t="s">
        <v>59</v>
      </c>
      <c r="C78" s="78">
        <v>831.95190000000002</v>
      </c>
      <c r="D78" s="92">
        <v>940.14750000000004</v>
      </c>
      <c r="E78" s="79" t="e">
        <f>+D78*E138</f>
        <v>#REF!</v>
      </c>
      <c r="F78" s="79">
        <f>+D78*E170</f>
        <v>13.537781190364113</v>
      </c>
      <c r="G78" s="79" t="e">
        <f>SUM(D78:F78)</f>
        <v>#REF!</v>
      </c>
      <c r="H78" s="79" t="e">
        <f t="shared" ref="H78:H86" si="14">ROUND(G78,0)</f>
        <v>#REF!</v>
      </c>
      <c r="I78" s="98">
        <v>1</v>
      </c>
      <c r="J78" s="101" t="e">
        <f t="shared" ref="J78:J86" si="15">C78/H78</f>
        <v>#REF!</v>
      </c>
    </row>
    <row r="79" spans="1:10">
      <c r="A79" s="96">
        <v>902</v>
      </c>
      <c r="B79" s="78" t="s">
        <v>41</v>
      </c>
      <c r="C79" s="78">
        <v>652.21050000000002</v>
      </c>
      <c r="D79" s="92">
        <v>755.32529999999997</v>
      </c>
      <c r="E79" s="79" t="e">
        <f>+D79*E138</f>
        <v>#REF!</v>
      </c>
      <c r="F79" s="79">
        <f>+D79*E170</f>
        <v>10.876408902801028</v>
      </c>
      <c r="G79" s="79" t="e">
        <f t="shared" ref="G79:G89" si="16">SUM(D79:F79)</f>
        <v>#REF!</v>
      </c>
      <c r="H79" s="79" t="e">
        <f t="shared" si="14"/>
        <v>#REF!</v>
      </c>
      <c r="I79" s="98">
        <v>1</v>
      </c>
      <c r="J79" s="101" t="e">
        <f t="shared" si="15"/>
        <v>#REF!</v>
      </c>
    </row>
    <row r="80" spans="1:10">
      <c r="A80" s="96">
        <v>903</v>
      </c>
      <c r="B80" s="78" t="s">
        <v>41</v>
      </c>
      <c r="C80" s="78">
        <v>664.5027</v>
      </c>
      <c r="D80" s="92">
        <v>769.44439999999997</v>
      </c>
      <c r="E80" s="79" t="e">
        <f>+D80*E138</f>
        <v>#REF!</v>
      </c>
      <c r="F80" s="79">
        <f>+D80*E170</f>
        <v>11.079718794498737</v>
      </c>
      <c r="G80" s="79" t="e">
        <f t="shared" si="16"/>
        <v>#REF!</v>
      </c>
      <c r="H80" s="79" t="e">
        <f t="shared" si="14"/>
        <v>#REF!</v>
      </c>
      <c r="I80" s="98">
        <v>1</v>
      </c>
      <c r="J80" s="101" t="e">
        <f t="shared" si="15"/>
        <v>#REF!</v>
      </c>
    </row>
    <row r="81" spans="1:10">
      <c r="A81" s="96">
        <v>904</v>
      </c>
      <c r="B81" s="78" t="s">
        <v>41</v>
      </c>
      <c r="C81" s="78">
        <v>652.21050000000002</v>
      </c>
      <c r="D81" s="92">
        <v>755.29240000000004</v>
      </c>
      <c r="E81" s="79" t="e">
        <f>+D81*E138</f>
        <v>#REF!</v>
      </c>
      <c r="F81" s="79">
        <f>+D81*E170</f>
        <v>10.875935154797485</v>
      </c>
      <c r="G81" s="79" t="e">
        <f t="shared" si="16"/>
        <v>#REF!</v>
      </c>
      <c r="H81" s="79" t="e">
        <f t="shared" si="14"/>
        <v>#REF!</v>
      </c>
      <c r="I81" s="98">
        <v>1</v>
      </c>
      <c r="J81" s="101" t="e">
        <f t="shared" si="15"/>
        <v>#REF!</v>
      </c>
    </row>
    <row r="82" spans="1:10">
      <c r="A82" s="96">
        <v>905</v>
      </c>
      <c r="B82" s="78" t="s">
        <v>41</v>
      </c>
      <c r="C82" s="78">
        <v>664.5027</v>
      </c>
      <c r="D82" s="92">
        <v>769.44100000000003</v>
      </c>
      <c r="E82" s="79" t="e">
        <f>+D82*E138</f>
        <v>#REF!</v>
      </c>
      <c r="F82" s="79">
        <f>+D82*E170</f>
        <v>11.079669835738493</v>
      </c>
      <c r="G82" s="79" t="e">
        <f t="shared" si="16"/>
        <v>#REF!</v>
      </c>
      <c r="H82" s="79" t="e">
        <f t="shared" si="14"/>
        <v>#REF!</v>
      </c>
      <c r="I82" s="98">
        <v>1</v>
      </c>
      <c r="J82" s="101" t="e">
        <f t="shared" si="15"/>
        <v>#REF!</v>
      </c>
    </row>
    <row r="83" spans="1:10">
      <c r="A83" s="96">
        <v>906</v>
      </c>
      <c r="B83" s="78" t="s">
        <v>41</v>
      </c>
      <c r="C83" s="78">
        <v>652.21050000000002</v>
      </c>
      <c r="D83" s="92">
        <v>759.01869999999997</v>
      </c>
      <c r="E83" s="79" t="e">
        <f>+D83*E138</f>
        <v>#REF!</v>
      </c>
      <c r="F83" s="79">
        <f>+D83*E170</f>
        <v>10.929592516062236</v>
      </c>
      <c r="G83" s="79" t="e">
        <f t="shared" si="16"/>
        <v>#REF!</v>
      </c>
      <c r="H83" s="79" t="e">
        <f t="shared" si="14"/>
        <v>#REF!</v>
      </c>
      <c r="I83" s="98">
        <v>1</v>
      </c>
      <c r="J83" s="101" t="e">
        <f t="shared" si="15"/>
        <v>#REF!</v>
      </c>
    </row>
    <row r="84" spans="1:10">
      <c r="A84" s="96">
        <v>907</v>
      </c>
      <c r="B84" s="78" t="s">
        <v>38</v>
      </c>
      <c r="C84" s="78">
        <v>967.96479999999997</v>
      </c>
      <c r="D84" s="92">
        <v>1098.0213000000001</v>
      </c>
      <c r="E84" s="79" t="e">
        <f>+D84*E138</f>
        <v>#REF!</v>
      </c>
      <c r="F84" s="79">
        <f>+D84*E170</f>
        <v>15.811106344226999</v>
      </c>
      <c r="G84" s="79" t="e">
        <f t="shared" si="16"/>
        <v>#REF!</v>
      </c>
      <c r="H84" s="79" t="e">
        <f t="shared" si="14"/>
        <v>#REF!</v>
      </c>
      <c r="I84" s="98">
        <v>1</v>
      </c>
      <c r="J84" s="101" t="e">
        <f t="shared" si="15"/>
        <v>#REF!</v>
      </c>
    </row>
    <row r="85" spans="1:10">
      <c r="A85" s="96">
        <v>908</v>
      </c>
      <c r="B85" s="78" t="s">
        <v>38</v>
      </c>
      <c r="C85" s="78">
        <v>955.62059999999997</v>
      </c>
      <c r="D85" s="92">
        <v>1084.5054</v>
      </c>
      <c r="E85" s="79" t="e">
        <f>+D85*E138</f>
        <v>#REF!</v>
      </c>
      <c r="F85" s="79">
        <f>+D85*E170</f>
        <v>15.61648231258213</v>
      </c>
      <c r="G85" s="79" t="e">
        <f t="shared" si="16"/>
        <v>#REF!</v>
      </c>
      <c r="H85" s="79" t="e">
        <f t="shared" si="14"/>
        <v>#REF!</v>
      </c>
      <c r="I85" s="98">
        <v>1</v>
      </c>
      <c r="J85" s="101" t="e">
        <f t="shared" si="15"/>
        <v>#REF!</v>
      </c>
    </row>
    <row r="86" spans="1:10">
      <c r="A86" s="96">
        <v>909</v>
      </c>
      <c r="B86" s="78" t="s">
        <v>59</v>
      </c>
      <c r="C86" s="78">
        <v>832.01049999999998</v>
      </c>
      <c r="D86" s="92">
        <v>941.40449999999998</v>
      </c>
      <c r="E86" s="79" t="e">
        <f>+D86*E138</f>
        <v>#REF!</v>
      </c>
      <c r="F86" s="79">
        <f>+D86*E170</f>
        <v>13.555881532019319</v>
      </c>
      <c r="G86" s="79" t="e">
        <f t="shared" si="16"/>
        <v>#REF!</v>
      </c>
      <c r="H86" s="79" t="e">
        <f t="shared" si="14"/>
        <v>#REF!</v>
      </c>
      <c r="I86" s="98">
        <v>1</v>
      </c>
      <c r="J86" s="101" t="e">
        <f t="shared" si="15"/>
        <v>#REF!</v>
      </c>
    </row>
    <row r="87" spans="1:10">
      <c r="A87" s="96">
        <v>910</v>
      </c>
      <c r="B87" s="83" t="s">
        <v>103</v>
      </c>
      <c r="C87" s="78"/>
      <c r="D87" s="92"/>
      <c r="E87" s="78"/>
      <c r="F87" s="79"/>
      <c r="G87" s="79"/>
      <c r="H87" s="79"/>
      <c r="I87" s="98"/>
      <c r="J87" s="79"/>
    </row>
    <row r="88" spans="1:10">
      <c r="A88" s="97">
        <v>911</v>
      </c>
      <c r="B88" s="83" t="s">
        <v>103</v>
      </c>
      <c r="C88" s="78"/>
      <c r="D88" s="92"/>
      <c r="E88" s="78"/>
      <c r="F88" s="79"/>
      <c r="G88" s="79"/>
      <c r="H88" s="79"/>
      <c r="I88" s="98"/>
      <c r="J88" s="79"/>
    </row>
    <row r="89" spans="1:10">
      <c r="A89" s="97">
        <v>912</v>
      </c>
      <c r="B89" s="78" t="s">
        <v>41</v>
      </c>
      <c r="C89" s="78">
        <v>667.94579999999996</v>
      </c>
      <c r="D89" s="92">
        <v>771.00390000000004</v>
      </c>
      <c r="E89" s="78" t="e">
        <f>+D89*E138</f>
        <v>#REF!</v>
      </c>
      <c r="F89" s="79">
        <f>+D89*E170</f>
        <v>11.102175025852192</v>
      </c>
      <c r="G89" s="79" t="e">
        <f t="shared" si="16"/>
        <v>#REF!</v>
      </c>
      <c r="H89" s="79" t="e">
        <f t="shared" ref="H89" si="17">ROUND(G89,0)</f>
        <v>#REF!</v>
      </c>
      <c r="I89" s="98">
        <v>1</v>
      </c>
      <c r="J89" s="101" t="e">
        <f t="shared" ref="J89" si="18">C89/H89</f>
        <v>#REF!</v>
      </c>
    </row>
    <row r="90" spans="1:10">
      <c r="A90" s="83" t="s">
        <v>87</v>
      </c>
      <c r="B90" s="84"/>
      <c r="C90" s="84"/>
      <c r="D90" s="85">
        <f>SUM(D78:D89)</f>
        <v>8643.6044000000002</v>
      </c>
      <c r="E90" s="88" t="e">
        <f>SUM(E78:E89)</f>
        <v>#REF!</v>
      </c>
      <c r="F90" s="85">
        <f>SUM(F78:F89)</f>
        <v>124.46475160894273</v>
      </c>
      <c r="G90" s="85" t="e">
        <f>SUM(G78:G89)</f>
        <v>#REF!</v>
      </c>
      <c r="H90" s="85" t="e">
        <f>SUM(H78:H89)</f>
        <v>#REF!</v>
      </c>
      <c r="I90" s="84"/>
      <c r="J90" s="102" t="e">
        <f>AVERAGE(J78:J89)</f>
        <v>#REF!</v>
      </c>
    </row>
    <row r="91" spans="1:10">
      <c r="A91" s="80"/>
      <c r="D91" s="86"/>
      <c r="E91" s="95"/>
      <c r="F91" s="86"/>
      <c r="G91" s="86"/>
      <c r="H91" s="86"/>
      <c r="J91" s="86"/>
    </row>
    <row r="92" spans="1:10" ht="15">
      <c r="A92" s="76" t="s">
        <v>107</v>
      </c>
    </row>
    <row r="93" spans="1:10" ht="15">
      <c r="A93" s="228" t="s">
        <v>78</v>
      </c>
      <c r="B93" s="228" t="s">
        <v>79</v>
      </c>
      <c r="C93" s="228" t="s">
        <v>80</v>
      </c>
      <c r="D93" s="228" t="s">
        <v>81</v>
      </c>
      <c r="E93" s="238" t="s">
        <v>82</v>
      </c>
      <c r="F93" s="239"/>
      <c r="G93" s="228" t="s">
        <v>83</v>
      </c>
      <c r="H93" s="235" t="s">
        <v>122</v>
      </c>
      <c r="I93" s="228" t="s">
        <v>84</v>
      </c>
      <c r="J93" s="228" t="s">
        <v>77</v>
      </c>
    </row>
    <row r="94" spans="1:10" ht="38.25">
      <c r="A94" s="229"/>
      <c r="B94" s="229"/>
      <c r="C94" s="229"/>
      <c r="D94" s="229"/>
      <c r="E94" s="77" t="s">
        <v>85</v>
      </c>
      <c r="F94" s="77" t="s">
        <v>86</v>
      </c>
      <c r="G94" s="229"/>
      <c r="H94" s="229"/>
      <c r="I94" s="229"/>
      <c r="J94" s="229"/>
    </row>
    <row r="95" spans="1:10">
      <c r="A95" s="96">
        <v>101</v>
      </c>
      <c r="B95" s="78" t="s">
        <v>59</v>
      </c>
      <c r="C95" s="92">
        <v>831.95190000000002</v>
      </c>
      <c r="D95" s="92">
        <v>940.14750000000004</v>
      </c>
      <c r="E95" s="79" t="e">
        <f>+D95*E138</f>
        <v>#REF!</v>
      </c>
      <c r="F95" s="79">
        <f>+D95*E170</f>
        <v>13.537781190364113</v>
      </c>
      <c r="G95" s="79" t="e">
        <f>SUM(D95:F95)</f>
        <v>#REF!</v>
      </c>
      <c r="H95" s="79" t="e">
        <f t="shared" ref="H95:H98" si="19">ROUND(G95,0)</f>
        <v>#REF!</v>
      </c>
      <c r="I95" s="98">
        <v>1</v>
      </c>
      <c r="J95" s="101" t="e">
        <f>C95/H95</f>
        <v>#REF!</v>
      </c>
    </row>
    <row r="96" spans="1:10">
      <c r="A96" s="96">
        <v>102</v>
      </c>
      <c r="B96" s="78" t="s">
        <v>41</v>
      </c>
      <c r="C96" s="92">
        <v>652.21050000000002</v>
      </c>
      <c r="D96" s="92">
        <v>755.21759999999995</v>
      </c>
      <c r="E96" s="79" t="e">
        <f>+D96*E138</f>
        <v>#REF!</v>
      </c>
      <c r="F96" s="79">
        <f>+D96*E170</f>
        <v>10.874858062072098</v>
      </c>
      <c r="G96" s="79" t="e">
        <f t="shared" ref="G96:G103" si="20">SUM(D96:F96)</f>
        <v>#REF!</v>
      </c>
      <c r="H96" s="79" t="e">
        <f t="shared" si="19"/>
        <v>#REF!</v>
      </c>
      <c r="I96" s="98">
        <v>1</v>
      </c>
      <c r="J96" s="101" t="e">
        <f t="shared" ref="J96:J98" si="21">C96/H96</f>
        <v>#REF!</v>
      </c>
    </row>
    <row r="97" spans="1:10">
      <c r="A97" s="96">
        <v>103</v>
      </c>
      <c r="B97" s="78" t="s">
        <v>59</v>
      </c>
      <c r="C97" s="92">
        <v>782.95450000000005</v>
      </c>
      <c r="D97" s="92">
        <v>897.21569999999997</v>
      </c>
      <c r="E97" s="79" t="e">
        <f>+D97*E138</f>
        <v>#REF!</v>
      </c>
      <c r="F97" s="79">
        <f>+D97*E170</f>
        <v>12.919578924753159</v>
      </c>
      <c r="G97" s="79" t="e">
        <f t="shared" si="20"/>
        <v>#REF!</v>
      </c>
      <c r="H97" s="79" t="e">
        <f t="shared" si="19"/>
        <v>#REF!</v>
      </c>
      <c r="I97" s="98">
        <v>1</v>
      </c>
      <c r="J97" s="101" t="e">
        <f t="shared" si="21"/>
        <v>#REF!</v>
      </c>
    </row>
    <row r="98" spans="1:10">
      <c r="A98" s="96">
        <v>104</v>
      </c>
      <c r="B98" s="78" t="s">
        <v>59</v>
      </c>
      <c r="C98" s="92">
        <v>838</v>
      </c>
      <c r="D98" s="92">
        <v>959.11260000000004</v>
      </c>
      <c r="E98" s="79" t="e">
        <f>+D98*E138</f>
        <v>#REF!</v>
      </c>
      <c r="F98" s="79">
        <f>+D98*E170</f>
        <v>13.810871715046011</v>
      </c>
      <c r="G98" s="79" t="e">
        <f t="shared" si="20"/>
        <v>#REF!</v>
      </c>
      <c r="H98" s="79" t="e">
        <f t="shared" si="19"/>
        <v>#REF!</v>
      </c>
      <c r="I98" s="98">
        <v>1</v>
      </c>
      <c r="J98" s="101" t="e">
        <f t="shared" si="21"/>
        <v>#REF!</v>
      </c>
    </row>
    <row r="99" spans="1:10">
      <c r="A99" s="96">
        <v>105</v>
      </c>
      <c r="B99" s="83" t="s">
        <v>103</v>
      </c>
      <c r="C99" s="92"/>
      <c r="D99" s="92"/>
      <c r="E99" s="79"/>
      <c r="F99" s="79"/>
      <c r="G99" s="79"/>
      <c r="H99" s="79"/>
      <c r="I99" s="98"/>
      <c r="J99" s="79"/>
    </row>
    <row r="100" spans="1:10">
      <c r="A100" s="96">
        <v>106</v>
      </c>
      <c r="B100" s="83" t="s">
        <v>103</v>
      </c>
      <c r="C100" s="92"/>
      <c r="D100" s="92"/>
      <c r="E100" s="79"/>
      <c r="F100" s="79"/>
      <c r="G100" s="79"/>
      <c r="H100" s="79"/>
      <c r="I100" s="98"/>
      <c r="J100" s="79"/>
    </row>
    <row r="101" spans="1:10">
      <c r="A101" s="96">
        <v>107</v>
      </c>
      <c r="B101" s="78" t="s">
        <v>38</v>
      </c>
      <c r="C101" s="92">
        <v>956.89710000000002</v>
      </c>
      <c r="D101" s="92">
        <v>1088.8768</v>
      </c>
      <c r="E101" s="79" t="e">
        <f>+D101*E138</f>
        <v>#REF!</v>
      </c>
      <c r="F101" s="79">
        <f>+D101*E170</f>
        <v>15.679428878621563</v>
      </c>
      <c r="G101" s="79" t="e">
        <f t="shared" si="20"/>
        <v>#REF!</v>
      </c>
      <c r="H101" s="79" t="e">
        <f t="shared" ref="H101:H104" si="22">ROUND(G101,0)</f>
        <v>#REF!</v>
      </c>
      <c r="I101" s="98">
        <v>1</v>
      </c>
      <c r="J101" s="101" t="e">
        <f>C101/H101</f>
        <v>#REF!</v>
      </c>
    </row>
    <row r="102" spans="1:10">
      <c r="A102" s="96">
        <v>108</v>
      </c>
      <c r="B102" s="83" t="s">
        <v>41</v>
      </c>
      <c r="C102" s="92">
        <v>667.94579999999996</v>
      </c>
      <c r="D102" s="92">
        <v>771.00390000000004</v>
      </c>
      <c r="E102" s="79" t="e">
        <f>+D102*E138</f>
        <v>#REF!</v>
      </c>
      <c r="F102" s="79">
        <f>+D102*E170</f>
        <v>11.102175025852192</v>
      </c>
      <c r="G102" s="79" t="e">
        <f t="shared" si="20"/>
        <v>#REF!</v>
      </c>
      <c r="H102" s="79" t="e">
        <f t="shared" si="22"/>
        <v>#REF!</v>
      </c>
      <c r="I102" s="98">
        <v>1</v>
      </c>
      <c r="J102" s="101" t="e">
        <f t="shared" ref="J102:J104" si="23">C102/H102</f>
        <v>#REF!</v>
      </c>
    </row>
    <row r="103" spans="1:10">
      <c r="A103" s="96">
        <v>109</v>
      </c>
      <c r="B103" s="78" t="s">
        <v>59</v>
      </c>
      <c r="C103" s="92">
        <v>831.95190000000002</v>
      </c>
      <c r="D103" s="92">
        <v>940.14750000000004</v>
      </c>
      <c r="E103" s="79" t="e">
        <f>+D103*E138</f>
        <v>#REF!</v>
      </c>
      <c r="F103" s="79">
        <f>+D103*E170</f>
        <v>13.537781190364113</v>
      </c>
      <c r="G103" s="79" t="e">
        <f t="shared" si="20"/>
        <v>#REF!</v>
      </c>
      <c r="H103" s="79" t="e">
        <f t="shared" si="22"/>
        <v>#REF!</v>
      </c>
      <c r="I103" s="98">
        <v>1</v>
      </c>
      <c r="J103" s="101" t="e">
        <f t="shared" si="23"/>
        <v>#REF!</v>
      </c>
    </row>
    <row r="104" spans="1:10">
      <c r="A104" s="96">
        <v>110</v>
      </c>
      <c r="B104" s="83" t="s">
        <v>41</v>
      </c>
      <c r="C104" s="92">
        <v>667.94579999999996</v>
      </c>
      <c r="D104" s="92">
        <v>771.00390000000004</v>
      </c>
      <c r="E104" s="79" t="e">
        <f>+D104*E138</f>
        <v>#REF!</v>
      </c>
      <c r="F104" s="79">
        <f>+D104*E170</f>
        <v>11.102175025852192</v>
      </c>
      <c r="G104" s="79" t="e">
        <f t="shared" ref="G104" si="24">SUM(D104:F104)</f>
        <v>#REF!</v>
      </c>
      <c r="H104" s="79" t="e">
        <f t="shared" si="22"/>
        <v>#REF!</v>
      </c>
      <c r="I104" s="98">
        <v>1</v>
      </c>
      <c r="J104" s="101" t="e">
        <f t="shared" si="23"/>
        <v>#REF!</v>
      </c>
    </row>
    <row r="105" spans="1:10">
      <c r="A105" s="83" t="s">
        <v>87</v>
      </c>
      <c r="B105" s="84"/>
      <c r="C105" s="84"/>
      <c r="D105" s="85">
        <f>SUM(D95:D104)</f>
        <v>7122.7254999999996</v>
      </c>
      <c r="E105" s="88" t="e">
        <f>SUM(E95:E104)</f>
        <v>#REF!</v>
      </c>
      <c r="F105" s="85">
        <f>SUM(F95:F104)</f>
        <v>102.56465001292544</v>
      </c>
      <c r="G105" s="85" t="e">
        <f>SUM(G95:G104)</f>
        <v>#REF!</v>
      </c>
      <c r="H105" s="85" t="e">
        <f>SUM(H95:H104)</f>
        <v>#REF!</v>
      </c>
      <c r="I105" s="84"/>
      <c r="J105" s="102" t="e">
        <f>AVERAGE(J95:J104)</f>
        <v>#REF!</v>
      </c>
    </row>
    <row r="106" spans="1:10">
      <c r="A106" s="80"/>
      <c r="D106" s="86"/>
      <c r="E106" s="95"/>
      <c r="F106" s="86"/>
      <c r="G106" s="86"/>
      <c r="H106" s="86"/>
      <c r="J106" s="86"/>
    </row>
    <row r="107" spans="1:10" ht="15">
      <c r="A107" s="76" t="s">
        <v>120</v>
      </c>
    </row>
    <row r="108" spans="1:10" ht="15">
      <c r="A108" s="228" t="s">
        <v>78</v>
      </c>
      <c r="B108" s="228" t="s">
        <v>79</v>
      </c>
      <c r="C108" s="228" t="s">
        <v>80</v>
      </c>
      <c r="D108" s="228" t="s">
        <v>81</v>
      </c>
      <c r="E108" s="238" t="s">
        <v>82</v>
      </c>
      <c r="F108" s="239"/>
      <c r="G108" s="228" t="s">
        <v>83</v>
      </c>
      <c r="H108" s="235" t="s">
        <v>122</v>
      </c>
      <c r="I108" s="228" t="s">
        <v>84</v>
      </c>
      <c r="J108" s="228" t="s">
        <v>77</v>
      </c>
    </row>
    <row r="109" spans="1:10" ht="38.25">
      <c r="A109" s="229"/>
      <c r="B109" s="229"/>
      <c r="C109" s="229"/>
      <c r="D109" s="229"/>
      <c r="E109" s="77" t="s">
        <v>85</v>
      </c>
      <c r="F109" s="77" t="s">
        <v>86</v>
      </c>
      <c r="G109" s="229"/>
      <c r="H109" s="229"/>
      <c r="I109" s="229"/>
      <c r="J109" s="229"/>
    </row>
    <row r="110" spans="1:10">
      <c r="A110" s="83" t="s">
        <v>108</v>
      </c>
      <c r="B110" s="78" t="s">
        <v>59</v>
      </c>
      <c r="C110" s="92">
        <v>831.95190000000002</v>
      </c>
      <c r="D110" s="92">
        <v>940.14750000000004</v>
      </c>
      <c r="E110" s="79" t="e">
        <f>+D110*E138</f>
        <v>#REF!</v>
      </c>
      <c r="F110" s="79">
        <f>D110*E170</f>
        <v>13.537781190364113</v>
      </c>
      <c r="G110" s="79" t="e">
        <f>SUM(D110:F110)</f>
        <v>#REF!</v>
      </c>
      <c r="H110" s="79" t="e">
        <f t="shared" ref="H110:H119" si="25">ROUND(G110,0)</f>
        <v>#REF!</v>
      </c>
      <c r="I110" s="98">
        <v>7</v>
      </c>
      <c r="J110" s="101" t="e">
        <f>C110/H110</f>
        <v>#REF!</v>
      </c>
    </row>
    <row r="111" spans="1:10">
      <c r="A111" s="83" t="s">
        <v>109</v>
      </c>
      <c r="B111" s="78" t="s">
        <v>41</v>
      </c>
      <c r="C111" s="92">
        <v>652.21050000000002</v>
      </c>
      <c r="D111" s="92">
        <v>755.21759999999995</v>
      </c>
      <c r="E111" s="79" t="e">
        <f>+D111*E138</f>
        <v>#REF!</v>
      </c>
      <c r="F111" s="79">
        <f>D111*E170</f>
        <v>10.874858062072098</v>
      </c>
      <c r="G111" s="79" t="e">
        <f t="shared" ref="G111:G119" si="26">SUM(D111:F111)</f>
        <v>#REF!</v>
      </c>
      <c r="H111" s="79" t="e">
        <f t="shared" si="25"/>
        <v>#REF!</v>
      </c>
      <c r="I111" s="98">
        <v>7</v>
      </c>
      <c r="J111" s="101" t="e">
        <f t="shared" ref="J111:J119" si="27">C111/H111</f>
        <v>#REF!</v>
      </c>
    </row>
    <row r="112" spans="1:10">
      <c r="A112" s="83" t="s">
        <v>110</v>
      </c>
      <c r="B112" s="78" t="s">
        <v>41</v>
      </c>
      <c r="C112" s="92">
        <v>782.95450000000005</v>
      </c>
      <c r="D112" s="92">
        <v>897.21569999999997</v>
      </c>
      <c r="E112" s="79" t="e">
        <f>+D112*E138</f>
        <v>#REF!</v>
      </c>
      <c r="F112" s="79">
        <f>+D112*E170</f>
        <v>12.919578924753159</v>
      </c>
      <c r="G112" s="79" t="e">
        <f t="shared" si="26"/>
        <v>#REF!</v>
      </c>
      <c r="H112" s="79" t="e">
        <f t="shared" si="25"/>
        <v>#REF!</v>
      </c>
      <c r="I112" s="98">
        <v>7</v>
      </c>
      <c r="J112" s="101" t="e">
        <f t="shared" si="27"/>
        <v>#REF!</v>
      </c>
    </row>
    <row r="113" spans="1:10">
      <c r="A113" s="83" t="s">
        <v>111</v>
      </c>
      <c r="B113" s="78" t="s">
        <v>41</v>
      </c>
      <c r="C113" s="92">
        <v>838</v>
      </c>
      <c r="D113" s="92">
        <v>959.11260000000004</v>
      </c>
      <c r="E113" s="79" t="e">
        <f>+D113*E138</f>
        <v>#REF!</v>
      </c>
      <c r="F113" s="79">
        <f>+D113*E170</f>
        <v>13.810871715046011</v>
      </c>
      <c r="G113" s="79" t="e">
        <f t="shared" si="26"/>
        <v>#REF!</v>
      </c>
      <c r="H113" s="79" t="e">
        <f t="shared" si="25"/>
        <v>#REF!</v>
      </c>
      <c r="I113" s="98">
        <v>7</v>
      </c>
      <c r="J113" s="101" t="e">
        <f t="shared" si="27"/>
        <v>#REF!</v>
      </c>
    </row>
    <row r="114" spans="1:10">
      <c r="A114" s="83" t="s">
        <v>112</v>
      </c>
      <c r="B114" s="78" t="s">
        <v>41</v>
      </c>
      <c r="C114" s="92">
        <v>831.98559999999998</v>
      </c>
      <c r="D114" s="92">
        <v>940.14930000000004</v>
      </c>
      <c r="E114" s="79" t="e">
        <f>+D114*E138</f>
        <v>#REF!</v>
      </c>
      <c r="F114" s="79">
        <f>+D114*E170</f>
        <v>13.537807109707773</v>
      </c>
      <c r="G114" s="79" t="e">
        <f t="shared" si="26"/>
        <v>#REF!</v>
      </c>
      <c r="H114" s="79" t="e">
        <f t="shared" si="25"/>
        <v>#REF!</v>
      </c>
      <c r="I114" s="98">
        <v>7</v>
      </c>
      <c r="J114" s="101" t="e">
        <f t="shared" si="27"/>
        <v>#REF!</v>
      </c>
    </row>
    <row r="115" spans="1:10">
      <c r="A115" s="83" t="s">
        <v>113</v>
      </c>
      <c r="B115" s="78" t="s">
        <v>41</v>
      </c>
      <c r="C115" s="92">
        <v>974.67</v>
      </c>
      <c r="D115" s="92">
        <v>1102.4067</v>
      </c>
      <c r="E115" s="79" t="e">
        <f>+D115*E138</f>
        <v>#REF!</v>
      </c>
      <c r="F115" s="79">
        <f>+D115*E170</f>
        <v>15.874254505161556</v>
      </c>
      <c r="G115" s="79" t="e">
        <f t="shared" si="26"/>
        <v>#REF!</v>
      </c>
      <c r="H115" s="79" t="e">
        <f t="shared" si="25"/>
        <v>#REF!</v>
      </c>
      <c r="I115" s="98">
        <v>7</v>
      </c>
      <c r="J115" s="101" t="e">
        <f t="shared" si="27"/>
        <v>#REF!</v>
      </c>
    </row>
    <row r="116" spans="1:10">
      <c r="A116" s="83" t="s">
        <v>114</v>
      </c>
      <c r="B116" s="78" t="s">
        <v>38</v>
      </c>
      <c r="C116" s="92">
        <v>956.89710000000002</v>
      </c>
      <c r="D116" s="92">
        <v>1088.8768</v>
      </c>
      <c r="E116" s="79" t="e">
        <f>+D116*E138</f>
        <v>#REF!</v>
      </c>
      <c r="F116" s="79">
        <f>+D116*E170</f>
        <v>15.679428878621563</v>
      </c>
      <c r="G116" s="79" t="e">
        <f t="shared" si="26"/>
        <v>#REF!</v>
      </c>
      <c r="H116" s="79" t="e">
        <f t="shared" si="25"/>
        <v>#REF!</v>
      </c>
      <c r="I116" s="98">
        <v>7</v>
      </c>
      <c r="J116" s="101" t="e">
        <f t="shared" si="27"/>
        <v>#REF!</v>
      </c>
    </row>
    <row r="117" spans="1:10">
      <c r="A117" s="83" t="s">
        <v>115</v>
      </c>
      <c r="B117" s="78" t="s">
        <v>38</v>
      </c>
      <c r="C117" s="92">
        <v>667.94579999999996</v>
      </c>
      <c r="D117" s="92">
        <v>771.00390000000004</v>
      </c>
      <c r="E117" s="79" t="e">
        <f>+D117*E138</f>
        <v>#REF!</v>
      </c>
      <c r="F117" s="79">
        <f>+D117*E170</f>
        <v>11.102175025852192</v>
      </c>
      <c r="G117" s="79" t="e">
        <f t="shared" si="26"/>
        <v>#REF!</v>
      </c>
      <c r="H117" s="79" t="e">
        <f t="shared" si="25"/>
        <v>#REF!</v>
      </c>
      <c r="I117" s="98">
        <v>7</v>
      </c>
      <c r="J117" s="101" t="e">
        <f t="shared" si="27"/>
        <v>#REF!</v>
      </c>
    </row>
    <row r="118" spans="1:10">
      <c r="A118" s="83" t="s">
        <v>116</v>
      </c>
      <c r="B118" s="78" t="s">
        <v>59</v>
      </c>
      <c r="C118" s="92">
        <v>831.95190000000002</v>
      </c>
      <c r="D118" s="92">
        <v>940.14750000000004</v>
      </c>
      <c r="E118" s="79" t="e">
        <f>+D118*E138</f>
        <v>#REF!</v>
      </c>
      <c r="F118" s="79">
        <f>+D118*E170</f>
        <v>13.537781190364113</v>
      </c>
      <c r="G118" s="79" t="e">
        <f t="shared" si="26"/>
        <v>#REF!</v>
      </c>
      <c r="H118" s="79" t="e">
        <f t="shared" si="25"/>
        <v>#REF!</v>
      </c>
      <c r="I118" s="98">
        <v>7</v>
      </c>
      <c r="J118" s="101" t="e">
        <f t="shared" si="27"/>
        <v>#REF!</v>
      </c>
    </row>
    <row r="119" spans="1:10">
      <c r="A119" s="83" t="s">
        <v>117</v>
      </c>
      <c r="B119" s="78" t="s">
        <v>41</v>
      </c>
      <c r="C119" s="92">
        <v>667.94579999999996</v>
      </c>
      <c r="D119" s="92">
        <v>771.00390000000004</v>
      </c>
      <c r="E119" s="78" t="e">
        <f>+D119*E138</f>
        <v>#REF!</v>
      </c>
      <c r="F119" s="79">
        <f>+D119*E170</f>
        <v>11.102175025852192</v>
      </c>
      <c r="G119" s="79" t="e">
        <f t="shared" si="26"/>
        <v>#REF!</v>
      </c>
      <c r="H119" s="79" t="e">
        <f t="shared" si="25"/>
        <v>#REF!</v>
      </c>
      <c r="I119" s="98">
        <v>7</v>
      </c>
      <c r="J119" s="101" t="e">
        <f t="shared" si="27"/>
        <v>#REF!</v>
      </c>
    </row>
    <row r="120" spans="1:10">
      <c r="A120" s="83" t="s">
        <v>87</v>
      </c>
      <c r="B120" s="84"/>
      <c r="C120" s="84"/>
      <c r="D120" s="85">
        <f>SUM(D110:D119)*7</f>
        <v>64156.970499999981</v>
      </c>
      <c r="E120" s="88" t="e">
        <f>SUM(E110:E119)*7</f>
        <v>#REF!</v>
      </c>
      <c r="F120" s="85">
        <f>SUM(F110:F119)*7</f>
        <v>923.8369813945634</v>
      </c>
      <c r="G120" s="85" t="e">
        <f>SUM(G110:G119)*7</f>
        <v>#REF!</v>
      </c>
      <c r="H120" s="85" t="e">
        <f>SUM(H110:H119)*7</f>
        <v>#REF!</v>
      </c>
      <c r="I120" s="84"/>
      <c r="J120" s="102" t="e">
        <f>AVERAGE(J110:J119)</f>
        <v>#REF!</v>
      </c>
    </row>
    <row r="121" spans="1:10">
      <c r="A121" s="80"/>
      <c r="D121" s="86"/>
      <c r="E121" s="95"/>
      <c r="F121" s="86"/>
      <c r="G121" s="86"/>
      <c r="H121" s="86"/>
      <c r="J121" s="86"/>
    </row>
    <row r="122" spans="1:10" ht="15">
      <c r="A122" s="76" t="s">
        <v>121</v>
      </c>
    </row>
    <row r="123" spans="1:10" ht="15">
      <c r="A123" s="228" t="s">
        <v>78</v>
      </c>
      <c r="B123" s="228" t="s">
        <v>79</v>
      </c>
      <c r="C123" s="228" t="s">
        <v>80</v>
      </c>
      <c r="D123" s="228" t="s">
        <v>81</v>
      </c>
      <c r="E123" s="238" t="s">
        <v>82</v>
      </c>
      <c r="F123" s="239"/>
      <c r="G123" s="228" t="s">
        <v>83</v>
      </c>
      <c r="H123" s="235" t="s">
        <v>122</v>
      </c>
      <c r="I123" s="228" t="s">
        <v>84</v>
      </c>
      <c r="J123" s="228" t="s">
        <v>77</v>
      </c>
    </row>
    <row r="124" spans="1:10" ht="38.25">
      <c r="A124" s="229"/>
      <c r="B124" s="229"/>
      <c r="C124" s="229"/>
      <c r="D124" s="229"/>
      <c r="E124" s="77" t="s">
        <v>85</v>
      </c>
      <c r="F124" s="77" t="s">
        <v>86</v>
      </c>
      <c r="G124" s="229"/>
      <c r="H124" s="229"/>
      <c r="I124" s="229"/>
      <c r="J124" s="229"/>
    </row>
    <row r="125" spans="1:10">
      <c r="A125" s="96">
        <v>901</v>
      </c>
      <c r="B125" s="78" t="s">
        <v>59</v>
      </c>
      <c r="C125" s="92">
        <v>831.95190000000002</v>
      </c>
      <c r="D125" s="92">
        <v>940.14750000000004</v>
      </c>
      <c r="E125" s="79" t="e">
        <f>+D125*E138</f>
        <v>#REF!</v>
      </c>
      <c r="F125" s="79">
        <f>D125*E170</f>
        <v>13.537781190364113</v>
      </c>
      <c r="G125" s="79" t="e">
        <f>SUM(D125:F125)</f>
        <v>#REF!</v>
      </c>
      <c r="H125" s="79" t="e">
        <f t="shared" ref="H125:H128" si="28">ROUND(G125,0)</f>
        <v>#REF!</v>
      </c>
      <c r="I125" s="98">
        <v>1</v>
      </c>
      <c r="J125" s="101" t="e">
        <f>C125/H125</f>
        <v>#REF!</v>
      </c>
    </row>
    <row r="126" spans="1:10">
      <c r="A126" s="96">
        <v>902</v>
      </c>
      <c r="B126" s="78" t="s">
        <v>41</v>
      </c>
      <c r="C126" s="92">
        <v>652.21050000000002</v>
      </c>
      <c r="D126" s="92">
        <v>755.21759999999995</v>
      </c>
      <c r="E126" s="79" t="e">
        <f>+D126*E138</f>
        <v>#REF!</v>
      </c>
      <c r="F126" s="79">
        <f>D126*E170</f>
        <v>10.874858062072098</v>
      </c>
      <c r="G126" s="79" t="e">
        <f t="shared" ref="G126:G128" si="29">SUM(D126:F126)</f>
        <v>#REF!</v>
      </c>
      <c r="H126" s="79" t="e">
        <f t="shared" si="28"/>
        <v>#REF!</v>
      </c>
      <c r="I126" s="98">
        <v>1</v>
      </c>
      <c r="J126" s="101" t="e">
        <f t="shared" ref="J126:J128" si="30">C126/H126</f>
        <v>#REF!</v>
      </c>
    </row>
    <row r="127" spans="1:10">
      <c r="A127" s="96">
        <v>903</v>
      </c>
      <c r="B127" s="78" t="s">
        <v>59</v>
      </c>
      <c r="C127" s="92">
        <v>782.95450000000005</v>
      </c>
      <c r="D127" s="92">
        <v>897.21569999999997</v>
      </c>
      <c r="E127" s="79" t="e">
        <f>+D127*E138</f>
        <v>#REF!</v>
      </c>
      <c r="F127" s="79">
        <f>D127*E170</f>
        <v>12.919578924753159</v>
      </c>
      <c r="G127" s="79" t="e">
        <f t="shared" si="29"/>
        <v>#REF!</v>
      </c>
      <c r="H127" s="79" t="e">
        <f t="shared" si="28"/>
        <v>#REF!</v>
      </c>
      <c r="I127" s="98">
        <v>1</v>
      </c>
      <c r="J127" s="101" t="e">
        <f t="shared" si="30"/>
        <v>#REF!</v>
      </c>
    </row>
    <row r="128" spans="1:10">
      <c r="A128" s="96">
        <v>904</v>
      </c>
      <c r="B128" s="78" t="s">
        <v>59</v>
      </c>
      <c r="C128" s="92">
        <v>838</v>
      </c>
      <c r="D128" s="92">
        <v>959.11260000000004</v>
      </c>
      <c r="E128" s="79" t="e">
        <f>+D128*E138</f>
        <v>#REF!</v>
      </c>
      <c r="F128" s="79">
        <f>D128*E170</f>
        <v>13.810871715046011</v>
      </c>
      <c r="G128" s="79" t="e">
        <f t="shared" si="29"/>
        <v>#REF!</v>
      </c>
      <c r="H128" s="79" t="e">
        <f t="shared" si="28"/>
        <v>#REF!</v>
      </c>
      <c r="I128" s="98">
        <v>1</v>
      </c>
      <c r="J128" s="101" t="e">
        <f t="shared" si="30"/>
        <v>#REF!</v>
      </c>
    </row>
    <row r="129" spans="1:14">
      <c r="A129" s="96">
        <v>905</v>
      </c>
      <c r="B129" s="83" t="s">
        <v>103</v>
      </c>
      <c r="C129" s="92"/>
      <c r="D129" s="92"/>
      <c r="E129" s="79"/>
      <c r="F129" s="79"/>
      <c r="G129" s="79"/>
      <c r="H129" s="79"/>
      <c r="I129" s="98"/>
      <c r="J129" s="79"/>
    </row>
    <row r="130" spans="1:14">
      <c r="A130" s="96">
        <v>906</v>
      </c>
      <c r="B130" s="83" t="s">
        <v>103</v>
      </c>
      <c r="C130" s="92"/>
      <c r="D130" s="92"/>
      <c r="E130" s="79"/>
      <c r="F130" s="79"/>
      <c r="G130" s="79"/>
      <c r="H130" s="79"/>
      <c r="I130" s="98"/>
      <c r="J130" s="79"/>
    </row>
    <row r="131" spans="1:14">
      <c r="A131" s="96">
        <v>907</v>
      </c>
      <c r="B131" s="78" t="s">
        <v>38</v>
      </c>
      <c r="C131" s="92">
        <v>956.89710000000002</v>
      </c>
      <c r="D131" s="92">
        <v>1088.8768</v>
      </c>
      <c r="E131" s="79" t="e">
        <f>+D131*E138</f>
        <v>#REF!</v>
      </c>
      <c r="F131" s="79">
        <f>+D131*E170</f>
        <v>15.679428878621563</v>
      </c>
      <c r="G131" s="79" t="e">
        <f t="shared" ref="G131:G134" si="31">SUM(D131:F131)</f>
        <v>#REF!</v>
      </c>
      <c r="H131" s="79" t="e">
        <f t="shared" ref="H131:H134" si="32">ROUND(G131,0)</f>
        <v>#REF!</v>
      </c>
      <c r="I131" s="98">
        <v>1</v>
      </c>
      <c r="J131" s="101" t="e">
        <f>C131/H131</f>
        <v>#REF!</v>
      </c>
    </row>
    <row r="132" spans="1:14">
      <c r="A132" s="96">
        <v>908</v>
      </c>
      <c r="B132" s="83" t="s">
        <v>41</v>
      </c>
      <c r="C132" s="92">
        <v>667.94579999999996</v>
      </c>
      <c r="D132" s="92">
        <v>771.00390000000004</v>
      </c>
      <c r="E132" s="79" t="e">
        <f>+D132*E138</f>
        <v>#REF!</v>
      </c>
      <c r="F132" s="79">
        <f>+D132*E170</f>
        <v>11.102175025852192</v>
      </c>
      <c r="G132" s="79" t="e">
        <f t="shared" si="31"/>
        <v>#REF!</v>
      </c>
      <c r="H132" s="79" t="e">
        <f t="shared" si="32"/>
        <v>#REF!</v>
      </c>
      <c r="I132" s="98">
        <v>1</v>
      </c>
      <c r="J132" s="101" t="e">
        <f t="shared" ref="J132:J134" si="33">C132/H132</f>
        <v>#REF!</v>
      </c>
    </row>
    <row r="133" spans="1:14">
      <c r="A133" s="96">
        <v>909</v>
      </c>
      <c r="B133" s="78" t="s">
        <v>59</v>
      </c>
      <c r="C133" s="92">
        <v>831.95190000000002</v>
      </c>
      <c r="D133" s="92">
        <v>940.14750000000004</v>
      </c>
      <c r="E133" s="79" t="e">
        <f>+D133*E138</f>
        <v>#REF!</v>
      </c>
      <c r="F133" s="79">
        <f>+D133*E170</f>
        <v>13.537781190364113</v>
      </c>
      <c r="G133" s="79" t="e">
        <f t="shared" si="31"/>
        <v>#REF!</v>
      </c>
      <c r="H133" s="79" t="e">
        <f t="shared" si="32"/>
        <v>#REF!</v>
      </c>
      <c r="I133" s="98">
        <v>1</v>
      </c>
      <c r="J133" s="101" t="e">
        <f t="shared" si="33"/>
        <v>#REF!</v>
      </c>
    </row>
    <row r="134" spans="1:14">
      <c r="A134" s="96">
        <v>910</v>
      </c>
      <c r="B134" s="83" t="s">
        <v>41</v>
      </c>
      <c r="C134" s="92">
        <v>667.94579999999996</v>
      </c>
      <c r="D134" s="92">
        <v>771.00390000000004</v>
      </c>
      <c r="E134" s="79" t="e">
        <f>+D134*E138</f>
        <v>#REF!</v>
      </c>
      <c r="F134" s="79">
        <f>+D134*E170</f>
        <v>11.102175025852192</v>
      </c>
      <c r="G134" s="79" t="e">
        <f t="shared" si="31"/>
        <v>#REF!</v>
      </c>
      <c r="H134" s="79" t="e">
        <f t="shared" si="32"/>
        <v>#REF!</v>
      </c>
      <c r="I134" s="98">
        <v>1</v>
      </c>
      <c r="J134" s="101" t="e">
        <f t="shared" si="33"/>
        <v>#REF!</v>
      </c>
      <c r="M134">
        <f>200*1000</f>
        <v>200000</v>
      </c>
    </row>
    <row r="135" spans="1:14">
      <c r="A135" s="83" t="s">
        <v>87</v>
      </c>
      <c r="B135" s="84"/>
      <c r="C135" s="84"/>
      <c r="D135" s="85">
        <f>SUM(D125:D134)</f>
        <v>7122.7254999999996</v>
      </c>
      <c r="E135" s="88" t="e">
        <f>SUM(E125:E134)</f>
        <v>#REF!</v>
      </c>
      <c r="F135" s="85">
        <f>SUM(F125:F134)</f>
        <v>102.56465001292544</v>
      </c>
      <c r="G135" s="85" t="e">
        <f>SUM(G125:G134)</f>
        <v>#REF!</v>
      </c>
      <c r="H135" s="85" t="e">
        <f>SUM(H125:H134)</f>
        <v>#REF!</v>
      </c>
      <c r="I135" s="84"/>
      <c r="J135" s="102" t="e">
        <f>AVERAGE(J125:J134)</f>
        <v>#REF!</v>
      </c>
      <c r="M135">
        <f>+M134/469000</f>
        <v>0.42643923240938164</v>
      </c>
    </row>
    <row r="136" spans="1:14">
      <c r="A136" s="80"/>
      <c r="D136" s="86"/>
      <c r="E136" s="95" t="e">
        <f>+E135+E120+E105+E90+E73+E56</f>
        <v>#REF!</v>
      </c>
      <c r="F136" s="86"/>
      <c r="G136" s="86"/>
      <c r="H136" s="86"/>
      <c r="J136" s="86"/>
    </row>
    <row r="137" spans="1:14">
      <c r="A137" s="80"/>
      <c r="D137" s="86"/>
      <c r="E137" s="95"/>
      <c r="F137" s="86"/>
      <c r="G137" s="86"/>
      <c r="H137" s="86"/>
      <c r="J137" s="86"/>
    </row>
    <row r="138" spans="1:14">
      <c r="B138" s="231" t="s">
        <v>82</v>
      </c>
      <c r="C138" s="231"/>
      <c r="D138" s="82" t="e">
        <f>+#REF!</f>
        <v>#REF!</v>
      </c>
      <c r="E138" s="232" t="e">
        <f>D138/D139</f>
        <v>#REF!</v>
      </c>
    </row>
    <row r="139" spans="1:14">
      <c r="B139" s="233" t="s">
        <v>88</v>
      </c>
      <c r="C139" s="233"/>
      <c r="D139" s="81">
        <f>D135+D120+D105+D90+D73+D56</f>
        <v>166903.95799999996</v>
      </c>
      <c r="E139" s="232"/>
    </row>
    <row r="140" spans="1:14" ht="15">
      <c r="A140" s="76" t="s">
        <v>89</v>
      </c>
    </row>
    <row r="141" spans="1:14" ht="15" customHeight="1">
      <c r="A141" s="230" t="s">
        <v>78</v>
      </c>
      <c r="B141" s="230" t="s">
        <v>79</v>
      </c>
      <c r="C141" s="230" t="s">
        <v>80</v>
      </c>
      <c r="D141" s="230" t="s">
        <v>81</v>
      </c>
      <c r="E141" s="237" t="s">
        <v>82</v>
      </c>
      <c r="F141" s="237"/>
      <c r="G141" s="230" t="s">
        <v>83</v>
      </c>
      <c r="H141" s="235" t="s">
        <v>122</v>
      </c>
      <c r="I141" s="228" t="s">
        <v>84</v>
      </c>
      <c r="J141" s="230" t="s">
        <v>77</v>
      </c>
    </row>
    <row r="142" spans="1:14" ht="38.25">
      <c r="A142" s="230"/>
      <c r="B142" s="230"/>
      <c r="C142" s="230"/>
      <c r="D142" s="230"/>
      <c r="E142" s="77" t="s">
        <v>85</v>
      </c>
      <c r="F142" s="77" t="s">
        <v>86</v>
      </c>
      <c r="G142" s="230"/>
      <c r="H142" s="229"/>
      <c r="I142" s="229"/>
      <c r="J142" s="230"/>
    </row>
    <row r="143" spans="1:14">
      <c r="A143" s="78" t="s">
        <v>47</v>
      </c>
      <c r="B143" s="78" t="s">
        <v>59</v>
      </c>
      <c r="C143" s="93">
        <v>831.95190000000002</v>
      </c>
      <c r="D143" s="93">
        <v>941.40350000000001</v>
      </c>
      <c r="E143" s="79" t="e">
        <f>D143*E150</f>
        <v>#REF!</v>
      </c>
      <c r="F143" s="79">
        <f>D143*E170</f>
        <v>13.555867132383954</v>
      </c>
      <c r="G143" s="79" t="e">
        <f>SUM(D143:F143)</f>
        <v>#REF!</v>
      </c>
      <c r="H143" s="79" t="e">
        <f t="shared" ref="H143:H147" si="34">ROUND(G143,0)</f>
        <v>#REF!</v>
      </c>
      <c r="I143" s="98">
        <v>9</v>
      </c>
      <c r="J143" s="101" t="e">
        <f>C143/H143</f>
        <v>#REF!</v>
      </c>
      <c r="L143" s="90" t="s">
        <v>99</v>
      </c>
      <c r="M143" s="71" t="e">
        <f>C143/G143</f>
        <v>#REF!</v>
      </c>
      <c r="N143" s="91" t="e">
        <f>C143/G143</f>
        <v>#REF!</v>
      </c>
    </row>
    <row r="144" spans="1:14">
      <c r="A144" s="78" t="s">
        <v>48</v>
      </c>
      <c r="B144" s="78" t="s">
        <v>41</v>
      </c>
      <c r="C144" s="93">
        <v>652.21019999999999</v>
      </c>
      <c r="D144" s="93">
        <v>755.2998</v>
      </c>
      <c r="E144" s="79" t="e">
        <f>D144*E150</f>
        <v>#REF!</v>
      </c>
      <c r="F144" s="79">
        <f>D144*E170</f>
        <v>10.876041712099193</v>
      </c>
      <c r="G144" s="79" t="e">
        <f>SUM(D144:F144)</f>
        <v>#REF!</v>
      </c>
      <c r="H144" s="79" t="e">
        <f t="shared" si="34"/>
        <v>#REF!</v>
      </c>
      <c r="I144" s="98">
        <v>9</v>
      </c>
      <c r="J144" s="101" t="e">
        <f t="shared" ref="J144:J147" si="35">C144/H144</f>
        <v>#REF!</v>
      </c>
      <c r="L144" s="90" t="s">
        <v>100</v>
      </c>
      <c r="M144" s="90">
        <f>+D143</f>
        <v>941.40350000000001</v>
      </c>
      <c r="N144" s="91"/>
    </row>
    <row r="145" spans="1:14">
      <c r="A145" s="78" t="s">
        <v>49</v>
      </c>
      <c r="B145" s="78" t="s">
        <v>41</v>
      </c>
      <c r="C145" s="93">
        <v>664.50229999999999</v>
      </c>
      <c r="D145" s="93">
        <v>782.74770000000001</v>
      </c>
      <c r="E145" s="79" t="e">
        <f>D145*E150</f>
        <v>#REF!</v>
      </c>
      <c r="F145" s="79">
        <f>D145*E170</f>
        <v>11.271281463664767</v>
      </c>
      <c r="G145" s="79" t="e">
        <f>SUM(D145:F145)</f>
        <v>#REF!</v>
      </c>
      <c r="H145" s="79" t="e">
        <f t="shared" si="34"/>
        <v>#REF!</v>
      </c>
      <c r="I145" s="98">
        <v>9</v>
      </c>
      <c r="J145" s="101" t="e">
        <f t="shared" si="35"/>
        <v>#REF!</v>
      </c>
      <c r="L145" s="90" t="s">
        <v>101</v>
      </c>
      <c r="M145" s="90">
        <f>+M144-C143</f>
        <v>109.45159999999998</v>
      </c>
      <c r="N145" s="91" t="e">
        <f>M145/G143</f>
        <v>#REF!</v>
      </c>
    </row>
    <row r="146" spans="1:14">
      <c r="A146" s="78" t="s">
        <v>50</v>
      </c>
      <c r="B146" s="78" t="s">
        <v>41</v>
      </c>
      <c r="C146" s="93">
        <v>652.20320000000004</v>
      </c>
      <c r="D146" s="93">
        <v>759.33540000000005</v>
      </c>
      <c r="E146" s="79" t="e">
        <f>D146*E150</f>
        <v>#REF!</v>
      </c>
      <c r="F146" s="79">
        <f>D146*E170</f>
        <v>10.934152880582685</v>
      </c>
      <c r="G146" s="79" t="e">
        <f>SUM(D146:F146)</f>
        <v>#REF!</v>
      </c>
      <c r="H146" s="79" t="e">
        <f t="shared" si="34"/>
        <v>#REF!</v>
      </c>
      <c r="I146" s="98">
        <v>9</v>
      </c>
      <c r="J146" s="101" t="e">
        <f t="shared" si="35"/>
        <v>#REF!</v>
      </c>
      <c r="L146" s="90" t="s">
        <v>82</v>
      </c>
      <c r="M146" s="90" t="e">
        <f>+E143+F143</f>
        <v>#REF!</v>
      </c>
      <c r="N146" s="91" t="e">
        <f>+M146/G143</f>
        <v>#REF!</v>
      </c>
    </row>
    <row r="147" spans="1:14">
      <c r="A147" s="78" t="s">
        <v>51</v>
      </c>
      <c r="B147" s="78" t="s">
        <v>38</v>
      </c>
      <c r="C147" s="93">
        <v>955.56330000000003</v>
      </c>
      <c r="D147" s="93">
        <v>1084.5052000000001</v>
      </c>
      <c r="E147" s="79" t="e">
        <f>D147*E150</f>
        <v>#REF!</v>
      </c>
      <c r="F147" s="79">
        <f>D147*E170</f>
        <v>15.616479432655058</v>
      </c>
      <c r="G147" s="79" t="e">
        <f>SUM(D147:F147)</f>
        <v>#REF!</v>
      </c>
      <c r="H147" s="79" t="e">
        <f t="shared" si="34"/>
        <v>#REF!</v>
      </c>
      <c r="I147" s="98">
        <v>9</v>
      </c>
      <c r="J147" s="101" t="e">
        <f t="shared" si="35"/>
        <v>#REF!</v>
      </c>
      <c r="N147" s="91" t="e">
        <f>SUM(N143:N146)</f>
        <v>#REF!</v>
      </c>
    </row>
    <row r="148" spans="1:14">
      <c r="A148" s="83" t="s">
        <v>87</v>
      </c>
      <c r="B148" s="84"/>
      <c r="C148" s="84"/>
      <c r="D148" s="85">
        <f>SUM(D143:D147)*9</f>
        <v>38909.624400000001</v>
      </c>
      <c r="E148" s="85" t="e">
        <f>SUM(E143:E147)*9</f>
        <v>#REF!</v>
      </c>
      <c r="F148" s="85">
        <f>SUM(F143:F147)*9</f>
        <v>560.28440359247088</v>
      </c>
      <c r="G148" s="85" t="e">
        <f>SUM(G143:G147)*9</f>
        <v>#REF!</v>
      </c>
      <c r="H148" s="85" t="e">
        <f>SUM(H143:H147)*9</f>
        <v>#REF!</v>
      </c>
      <c r="I148" s="84"/>
      <c r="J148" s="102" t="e">
        <f>AVERAGE(J143:J147)</f>
        <v>#REF!</v>
      </c>
      <c r="L148" s="94"/>
    </row>
    <row r="149" spans="1:14">
      <c r="A149" s="80"/>
      <c r="D149" s="86"/>
      <c r="E149" s="86"/>
      <c r="F149" s="86"/>
      <c r="G149" s="86"/>
      <c r="H149" s="86"/>
      <c r="J149" s="86"/>
      <c r="L149" s="94"/>
    </row>
    <row r="150" spans="1:14">
      <c r="A150" s="80"/>
      <c r="B150" s="231" t="s">
        <v>82</v>
      </c>
      <c r="C150" s="231"/>
      <c r="D150" s="87" t="e">
        <f>+#REF!</f>
        <v>#REF!</v>
      </c>
      <c r="E150" s="232" t="e">
        <f>D150/D151</f>
        <v>#REF!</v>
      </c>
      <c r="J150" s="86"/>
    </row>
    <row r="151" spans="1:14">
      <c r="A151" s="80"/>
      <c r="B151" s="233" t="s">
        <v>88</v>
      </c>
      <c r="C151" s="233"/>
      <c r="D151" s="86">
        <f>D148</f>
        <v>38909.624400000001</v>
      </c>
      <c r="E151" s="232"/>
      <c r="J151" s="86"/>
    </row>
    <row r="152" spans="1:14" ht="15">
      <c r="A152" s="76" t="s">
        <v>102</v>
      </c>
    </row>
    <row r="153" spans="1:14" ht="15" customHeight="1">
      <c r="A153" s="230" t="s">
        <v>78</v>
      </c>
      <c r="B153" s="230" t="s">
        <v>79</v>
      </c>
      <c r="C153" s="230" t="s">
        <v>80</v>
      </c>
      <c r="D153" s="230" t="s">
        <v>81</v>
      </c>
      <c r="E153" s="237" t="s">
        <v>82</v>
      </c>
      <c r="F153" s="237"/>
      <c r="G153" s="230" t="s">
        <v>83</v>
      </c>
      <c r="H153" s="235" t="s">
        <v>122</v>
      </c>
      <c r="I153" s="228" t="s">
        <v>84</v>
      </c>
      <c r="J153" s="230" t="s">
        <v>77</v>
      </c>
    </row>
    <row r="154" spans="1:14" ht="38.25">
      <c r="A154" s="230"/>
      <c r="B154" s="230"/>
      <c r="C154" s="230"/>
      <c r="D154" s="230"/>
      <c r="E154" s="77" t="s">
        <v>85</v>
      </c>
      <c r="F154" s="77" t="s">
        <v>86</v>
      </c>
      <c r="G154" s="230"/>
      <c r="H154" s="229"/>
      <c r="I154" s="229"/>
      <c r="J154" s="230"/>
    </row>
    <row r="155" spans="1:14">
      <c r="A155" s="78" t="s">
        <v>47</v>
      </c>
      <c r="B155" s="78" t="s">
        <v>69</v>
      </c>
      <c r="C155" s="93">
        <v>410.61380000000003</v>
      </c>
      <c r="D155" s="93">
        <v>484.88639999999998</v>
      </c>
      <c r="E155" s="79" t="e">
        <f>D155*E167</f>
        <v>#REF!</v>
      </c>
      <c r="F155" s="79">
        <f>D155*E170</f>
        <v>6.982187353987932</v>
      </c>
      <c r="G155" s="79" t="e">
        <f t="shared" ref="G155:G164" si="36">SUM(D155:F155)</f>
        <v>#REF!</v>
      </c>
      <c r="H155" s="79" t="e">
        <f t="shared" ref="H155:H164" si="37">ROUND(G155,0)</f>
        <v>#REF!</v>
      </c>
      <c r="I155" s="98">
        <v>9</v>
      </c>
      <c r="J155" s="101" t="e">
        <f>C155/H155</f>
        <v>#REF!</v>
      </c>
    </row>
    <row r="156" spans="1:14">
      <c r="A156" s="78" t="s">
        <v>48</v>
      </c>
      <c r="B156" s="78" t="s">
        <v>69</v>
      </c>
      <c r="C156" s="93">
        <v>410.61380000000003</v>
      </c>
      <c r="D156" s="93">
        <v>481.2808</v>
      </c>
      <c r="E156" s="79" t="e">
        <f>+D156*E167</f>
        <v>#REF!</v>
      </c>
      <c r="F156" s="79">
        <f>D156*E170</f>
        <v>6.9302680287118701</v>
      </c>
      <c r="G156" s="79" t="e">
        <f t="shared" si="36"/>
        <v>#REF!</v>
      </c>
      <c r="H156" s="79" t="e">
        <f t="shared" si="37"/>
        <v>#REF!</v>
      </c>
      <c r="I156" s="98">
        <v>9</v>
      </c>
      <c r="J156" s="101" t="e">
        <f t="shared" ref="J156:J164" si="38">C156/H156</f>
        <v>#REF!</v>
      </c>
    </row>
    <row r="157" spans="1:14">
      <c r="A157" s="78" t="s">
        <v>49</v>
      </c>
      <c r="B157" s="78" t="s">
        <v>69</v>
      </c>
      <c r="C157" s="93">
        <v>410.61380000000003</v>
      </c>
      <c r="D157" s="93">
        <v>481.2808</v>
      </c>
      <c r="E157" s="79" t="e">
        <f>+D157*E167</f>
        <v>#REF!</v>
      </c>
      <c r="F157" s="79">
        <f>D157*E170</f>
        <v>6.9302680287118701</v>
      </c>
      <c r="G157" s="79" t="e">
        <f t="shared" si="36"/>
        <v>#REF!</v>
      </c>
      <c r="H157" s="79" t="e">
        <f t="shared" si="37"/>
        <v>#REF!</v>
      </c>
      <c r="I157" s="98">
        <v>9</v>
      </c>
      <c r="J157" s="101" t="e">
        <f t="shared" si="38"/>
        <v>#REF!</v>
      </c>
    </row>
    <row r="158" spans="1:14">
      <c r="A158" s="78" t="s">
        <v>50</v>
      </c>
      <c r="B158" s="78" t="s">
        <v>69</v>
      </c>
      <c r="C158" s="93">
        <v>410.61380000000003</v>
      </c>
      <c r="D158" s="93">
        <v>481.2808</v>
      </c>
      <c r="E158" s="79" t="e">
        <f>+D158*E167</f>
        <v>#REF!</v>
      </c>
      <c r="F158" s="79">
        <f>D158*E170</f>
        <v>6.9302680287118701</v>
      </c>
      <c r="G158" s="79" t="e">
        <f t="shared" si="36"/>
        <v>#REF!</v>
      </c>
      <c r="H158" s="79" t="e">
        <f t="shared" si="37"/>
        <v>#REF!</v>
      </c>
      <c r="I158" s="98">
        <v>9</v>
      </c>
      <c r="J158" s="101" t="e">
        <f t="shared" si="38"/>
        <v>#REF!</v>
      </c>
    </row>
    <row r="159" spans="1:14">
      <c r="A159" s="78" t="s">
        <v>51</v>
      </c>
      <c r="B159" s="78" t="s">
        <v>69</v>
      </c>
      <c r="C159" s="93">
        <v>410.61380000000003</v>
      </c>
      <c r="D159" s="93">
        <v>484.67110000000002</v>
      </c>
      <c r="E159" s="79" t="e">
        <f>D159*E167</f>
        <v>#REF!</v>
      </c>
      <c r="F159" s="79">
        <f>D159*E170</f>
        <v>6.979087112493608</v>
      </c>
      <c r="G159" s="79" t="e">
        <f t="shared" si="36"/>
        <v>#REF!</v>
      </c>
      <c r="H159" s="79" t="e">
        <f t="shared" si="37"/>
        <v>#REF!</v>
      </c>
      <c r="I159" s="98">
        <v>9</v>
      </c>
      <c r="J159" s="101" t="e">
        <f t="shared" si="38"/>
        <v>#REF!</v>
      </c>
      <c r="L159" s="73"/>
      <c r="M159" s="73"/>
    </row>
    <row r="160" spans="1:14">
      <c r="A160" s="78" t="s">
        <v>52</v>
      </c>
      <c r="B160" s="78" t="s">
        <v>69</v>
      </c>
      <c r="C160" s="93">
        <v>410.59129999999999</v>
      </c>
      <c r="D160" s="93">
        <v>484.88639999999998</v>
      </c>
      <c r="E160" s="79" t="e">
        <f>D160*E167</f>
        <v>#REF!</v>
      </c>
      <c r="F160" s="79">
        <f>D160*E170</f>
        <v>6.982187353987932</v>
      </c>
      <c r="G160" s="79" t="e">
        <f t="shared" si="36"/>
        <v>#REF!</v>
      </c>
      <c r="H160" s="79" t="e">
        <f t="shared" si="37"/>
        <v>#REF!</v>
      </c>
      <c r="I160" s="98">
        <v>9</v>
      </c>
      <c r="J160" s="101" t="e">
        <f t="shared" si="38"/>
        <v>#REF!</v>
      </c>
    </row>
    <row r="161" spans="1:13">
      <c r="A161" s="78" t="s">
        <v>53</v>
      </c>
      <c r="B161" s="78" t="s">
        <v>69</v>
      </c>
      <c r="C161" s="93">
        <v>410.59129999999999</v>
      </c>
      <c r="D161" s="93">
        <v>481.28050000000002</v>
      </c>
      <c r="E161" s="79" t="e">
        <f>D161*E167</f>
        <v>#REF!</v>
      </c>
      <c r="F161" s="79">
        <f>D161*E170</f>
        <v>6.9302637088212604</v>
      </c>
      <c r="G161" s="79" t="e">
        <f t="shared" si="36"/>
        <v>#REF!</v>
      </c>
      <c r="H161" s="79" t="e">
        <f t="shared" si="37"/>
        <v>#REF!</v>
      </c>
      <c r="I161" s="98">
        <v>9</v>
      </c>
      <c r="J161" s="101" t="e">
        <f t="shared" si="38"/>
        <v>#REF!</v>
      </c>
    </row>
    <row r="162" spans="1:13">
      <c r="A162" s="78" t="s">
        <v>54</v>
      </c>
      <c r="B162" s="78" t="s">
        <v>69</v>
      </c>
      <c r="C162" s="93">
        <v>410.59129999999999</v>
      </c>
      <c r="D162" s="93">
        <v>481.28050000000002</v>
      </c>
      <c r="E162" s="79" t="e">
        <f>D162*E167</f>
        <v>#REF!</v>
      </c>
      <c r="F162" s="79">
        <f>D162*E170</f>
        <v>6.9302637088212604</v>
      </c>
      <c r="G162" s="79" t="e">
        <f t="shared" si="36"/>
        <v>#REF!</v>
      </c>
      <c r="H162" s="79" t="e">
        <f t="shared" si="37"/>
        <v>#REF!</v>
      </c>
      <c r="I162" s="98">
        <v>9</v>
      </c>
      <c r="J162" s="101" t="e">
        <f t="shared" si="38"/>
        <v>#REF!</v>
      </c>
      <c r="L162" s="72"/>
    </row>
    <row r="163" spans="1:13">
      <c r="A163" s="78" t="s">
        <v>55</v>
      </c>
      <c r="B163" s="78" t="s">
        <v>69</v>
      </c>
      <c r="C163" s="93">
        <v>410.59129999999999</v>
      </c>
      <c r="D163" s="93">
        <v>481.28050000000002</v>
      </c>
      <c r="E163" s="79" t="e">
        <f>+D163*E167</f>
        <v>#REF!</v>
      </c>
      <c r="F163" s="79">
        <f>D163*E170</f>
        <v>6.9302637088212604</v>
      </c>
      <c r="G163" s="79" t="e">
        <f t="shared" si="36"/>
        <v>#REF!</v>
      </c>
      <c r="H163" s="79" t="e">
        <f t="shared" si="37"/>
        <v>#REF!</v>
      </c>
      <c r="I163" s="98">
        <v>9</v>
      </c>
      <c r="J163" s="101" t="e">
        <f t="shared" si="38"/>
        <v>#REF!</v>
      </c>
    </row>
    <row r="164" spans="1:13">
      <c r="A164" s="78" t="s">
        <v>56</v>
      </c>
      <c r="B164" s="78" t="s">
        <v>69</v>
      </c>
      <c r="C164" s="93">
        <v>410.59129999999999</v>
      </c>
      <c r="D164" s="93">
        <v>484.6712</v>
      </c>
      <c r="E164" s="78" t="e">
        <f>+D164*E167</f>
        <v>#REF!</v>
      </c>
      <c r="F164" s="79">
        <f>D164*E170</f>
        <v>6.979088552457144</v>
      </c>
      <c r="G164" s="79" t="e">
        <f t="shared" si="36"/>
        <v>#REF!</v>
      </c>
      <c r="H164" s="79" t="e">
        <f t="shared" si="37"/>
        <v>#REF!</v>
      </c>
      <c r="I164" s="98">
        <v>9</v>
      </c>
      <c r="J164" s="101" t="e">
        <f t="shared" si="38"/>
        <v>#REF!</v>
      </c>
    </row>
    <row r="165" spans="1:13">
      <c r="A165" s="83" t="s">
        <v>87</v>
      </c>
      <c r="B165" s="84"/>
      <c r="C165" s="84"/>
      <c r="D165" s="85">
        <f>SUM(D155:D164)*9</f>
        <v>43441.190999999992</v>
      </c>
      <c r="E165" s="88" t="e">
        <f>SUM(E155:E164)*9</f>
        <v>#REF!</v>
      </c>
      <c r="F165" s="85">
        <f>SUM(F155:F164)*9</f>
        <v>625.53731026973401</v>
      </c>
      <c r="G165" s="85" t="e">
        <f>SUM(G155:G164)*9</f>
        <v>#REF!</v>
      </c>
      <c r="H165" s="85" t="e">
        <f>SUM(H155:H164)*9</f>
        <v>#REF!</v>
      </c>
      <c r="I165" s="84"/>
      <c r="J165" s="102" t="e">
        <f>AVERAGE(J155:J164)</f>
        <v>#REF!</v>
      </c>
      <c r="M165" s="90" t="e">
        <f>+G165+G148</f>
        <v>#REF!</v>
      </c>
    </row>
    <row r="166" spans="1:13">
      <c r="F166" s="86">
        <f>F165+F148+F135+F120+F105+F90+F73+F56+F36+F17</f>
        <v>6061.1034000000009</v>
      </c>
    </row>
    <row r="167" spans="1:13" ht="15.75" customHeight="1">
      <c r="B167" s="231" t="s">
        <v>82</v>
      </c>
      <c r="C167" s="231"/>
      <c r="D167" s="82" t="e">
        <f>+#REF!</f>
        <v>#REF!</v>
      </c>
      <c r="E167" s="232" t="e">
        <f>D167/D168</f>
        <v>#REF!</v>
      </c>
    </row>
    <row r="168" spans="1:13">
      <c r="B168" s="233" t="s">
        <v>88</v>
      </c>
      <c r="C168" s="233"/>
      <c r="D168" s="81">
        <f>D165</f>
        <v>43441.190999999992</v>
      </c>
      <c r="E168" s="232"/>
    </row>
    <row r="170" spans="1:13">
      <c r="B170" s="236" t="s">
        <v>95</v>
      </c>
      <c r="C170" s="236"/>
      <c r="D170" s="89">
        <f>(4861.1034+1200)</f>
        <v>6061.1034</v>
      </c>
      <c r="E170" s="234">
        <f>D170/D171</f>
        <v>1.439963536611448E-2</v>
      </c>
    </row>
    <row r="171" spans="1:13">
      <c r="B171" s="233" t="s">
        <v>96</v>
      </c>
      <c r="C171" s="233"/>
      <c r="D171" s="71">
        <f>D165+D148+D135+D120+D105+D90+D73+D56+D36+D17</f>
        <v>420920.61679999996</v>
      </c>
      <c r="E171" s="234"/>
    </row>
    <row r="172" spans="1:13" ht="13.5" thickBot="1"/>
    <row r="173" spans="1:13" ht="28.5" customHeight="1" thickBot="1">
      <c r="B173" s="103" t="s">
        <v>97</v>
      </c>
      <c r="C173" s="104"/>
      <c r="D173" s="104"/>
      <c r="E173" s="105" t="e">
        <f>+G165+G148+G135+G120+G105+G90+G73+G56+G36+G17</f>
        <v>#REF!</v>
      </c>
      <c r="F173" s="106" t="e">
        <f>+H165+H148+H135+H120+H105+H90+H73+H56+H36+H17</f>
        <v>#REF!</v>
      </c>
      <c r="G173" s="71"/>
      <c r="H173" s="71"/>
    </row>
    <row r="174" spans="1:13">
      <c r="G174" s="81"/>
      <c r="H174" s="81"/>
    </row>
    <row r="178" spans="6:12">
      <c r="F178" s="90"/>
    </row>
    <row r="179" spans="6:12">
      <c r="L179" s="90"/>
    </row>
  </sheetData>
  <mergeCells count="106">
    <mergeCell ref="A93:A94"/>
    <mergeCell ref="B93:B94"/>
    <mergeCell ref="C93:C94"/>
    <mergeCell ref="D93:D94"/>
    <mergeCell ref="E93:F93"/>
    <mergeCell ref="I108:I109"/>
    <mergeCell ref="J108:J109"/>
    <mergeCell ref="A123:A124"/>
    <mergeCell ref="B123:B124"/>
    <mergeCell ref="C123:C124"/>
    <mergeCell ref="D123:D124"/>
    <mergeCell ref="E123:F123"/>
    <mergeCell ref="G123:G124"/>
    <mergeCell ref="I123:I124"/>
    <mergeCell ref="J123:J124"/>
    <mergeCell ref="A108:A109"/>
    <mergeCell ref="B108:B109"/>
    <mergeCell ref="C108:C109"/>
    <mergeCell ref="D108:D109"/>
    <mergeCell ref="E108:F108"/>
    <mergeCell ref="H108:H109"/>
    <mergeCell ref="A59:A60"/>
    <mergeCell ref="B59:B60"/>
    <mergeCell ref="C59:C60"/>
    <mergeCell ref="D59:D60"/>
    <mergeCell ref="E59:F59"/>
    <mergeCell ref="A76:A77"/>
    <mergeCell ref="B76:B77"/>
    <mergeCell ref="C76:C77"/>
    <mergeCell ref="D76:D77"/>
    <mergeCell ref="E76:F76"/>
    <mergeCell ref="I3:I4"/>
    <mergeCell ref="J3:J4"/>
    <mergeCell ref="B19:C19"/>
    <mergeCell ref="E19:E20"/>
    <mergeCell ref="B20:C20"/>
    <mergeCell ref="G3:G4"/>
    <mergeCell ref="A22:A23"/>
    <mergeCell ref="B22:B23"/>
    <mergeCell ref="C22:C23"/>
    <mergeCell ref="D22:D23"/>
    <mergeCell ref="E22:F22"/>
    <mergeCell ref="A3:A4"/>
    <mergeCell ref="B3:B4"/>
    <mergeCell ref="C3:C4"/>
    <mergeCell ref="D3:D4"/>
    <mergeCell ref="E3:F3"/>
    <mergeCell ref="A42:A43"/>
    <mergeCell ref="B42:B43"/>
    <mergeCell ref="C42:C43"/>
    <mergeCell ref="D42:D43"/>
    <mergeCell ref="E42:F42"/>
    <mergeCell ref="G22:G23"/>
    <mergeCell ref="I22:I23"/>
    <mergeCell ref="J22:J23"/>
    <mergeCell ref="B38:C38"/>
    <mergeCell ref="E38:E39"/>
    <mergeCell ref="B39:C39"/>
    <mergeCell ref="I42:I43"/>
    <mergeCell ref="J42:J43"/>
    <mergeCell ref="B138:C138"/>
    <mergeCell ref="E138:E139"/>
    <mergeCell ref="B139:C139"/>
    <mergeCell ref="G42:G43"/>
    <mergeCell ref="G59:G60"/>
    <mergeCell ref="I59:I60"/>
    <mergeCell ref="J59:J60"/>
    <mergeCell ref="G76:G77"/>
    <mergeCell ref="I76:I77"/>
    <mergeCell ref="J76:J77"/>
    <mergeCell ref="G93:G94"/>
    <mergeCell ref="I93:I94"/>
    <mergeCell ref="J93:J94"/>
    <mergeCell ref="G108:G109"/>
    <mergeCell ref="H123:H124"/>
    <mergeCell ref="H42:H43"/>
    <mergeCell ref="H59:H60"/>
    <mergeCell ref="H76:H77"/>
    <mergeCell ref="H93:H94"/>
    <mergeCell ref="A153:A154"/>
    <mergeCell ref="B153:B154"/>
    <mergeCell ref="C153:C154"/>
    <mergeCell ref="D153:D154"/>
    <mergeCell ref="E153:F153"/>
    <mergeCell ref="A141:A142"/>
    <mergeCell ref="B141:B142"/>
    <mergeCell ref="C141:C142"/>
    <mergeCell ref="D141:D142"/>
    <mergeCell ref="E141:F141"/>
    <mergeCell ref="I153:I154"/>
    <mergeCell ref="J153:J154"/>
    <mergeCell ref="B167:C167"/>
    <mergeCell ref="E167:E168"/>
    <mergeCell ref="B168:C168"/>
    <mergeCell ref="E170:E171"/>
    <mergeCell ref="I141:I142"/>
    <mergeCell ref="J141:J142"/>
    <mergeCell ref="B150:C150"/>
    <mergeCell ref="E150:E151"/>
    <mergeCell ref="B151:C151"/>
    <mergeCell ref="G141:G142"/>
    <mergeCell ref="H141:H142"/>
    <mergeCell ref="H153:H154"/>
    <mergeCell ref="B170:C170"/>
    <mergeCell ref="B171:C171"/>
    <mergeCell ref="G153:G154"/>
  </mergeCells>
  <pageMargins left="0.7" right="0.7" top="0.75" bottom="0.75" header="0.3" footer="0.3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52"/>
  <sheetViews>
    <sheetView workbookViewId="0">
      <selection sqref="A1:P1048576"/>
    </sheetView>
  </sheetViews>
  <sheetFormatPr defaultRowHeight="12.75"/>
  <sheetData>
    <row r="1" spans="1:16">
      <c r="B1" t="s">
        <v>153</v>
      </c>
    </row>
    <row r="2" spans="1:16">
      <c r="F2" t="s">
        <v>151</v>
      </c>
      <c r="N2" t="s">
        <v>136</v>
      </c>
    </row>
    <row r="4" spans="1:16">
      <c r="A4" t="s">
        <v>138</v>
      </c>
      <c r="B4" t="s">
        <v>139</v>
      </c>
      <c r="C4" t="s">
        <v>123</v>
      </c>
      <c r="D4" t="s">
        <v>141</v>
      </c>
      <c r="E4" t="s">
        <v>140</v>
      </c>
      <c r="F4" t="s">
        <v>142</v>
      </c>
      <c r="G4" t="s">
        <v>143</v>
      </c>
      <c r="H4" t="s">
        <v>144</v>
      </c>
      <c r="J4" t="s">
        <v>145</v>
      </c>
      <c r="K4" t="s">
        <v>146</v>
      </c>
      <c r="L4" t="s">
        <v>147</v>
      </c>
      <c r="M4" t="s">
        <v>148</v>
      </c>
      <c r="N4" t="s">
        <v>149</v>
      </c>
      <c r="O4" t="s">
        <v>150</v>
      </c>
    </row>
    <row r="5" spans="1:16">
      <c r="O5" t="s">
        <v>125</v>
      </c>
      <c r="P5" t="s">
        <v>126</v>
      </c>
    </row>
    <row r="6" spans="1:16">
      <c r="B6" t="s">
        <v>129</v>
      </c>
    </row>
    <row r="7" spans="1:16">
      <c r="A7">
        <v>1</v>
      </c>
      <c r="C7">
        <v>1</v>
      </c>
      <c r="D7" t="s">
        <v>127</v>
      </c>
      <c r="E7">
        <v>101</v>
      </c>
      <c r="F7">
        <v>40.49</v>
      </c>
      <c r="G7">
        <v>0</v>
      </c>
      <c r="H7">
        <v>0</v>
      </c>
      <c r="J7">
        <v>4.8299999999999983</v>
      </c>
      <c r="K7">
        <v>45.32</v>
      </c>
      <c r="L7">
        <v>16.738714232627281</v>
      </c>
      <c r="M7">
        <v>62.058714232627281</v>
      </c>
      <c r="N7">
        <v>19.236753619521338</v>
      </c>
      <c r="O7">
        <v>0</v>
      </c>
    </row>
    <row r="9" spans="1:16">
      <c r="A9">
        <v>2</v>
      </c>
      <c r="C9">
        <v>1</v>
      </c>
      <c r="D9" t="s">
        <v>127</v>
      </c>
      <c r="E9">
        <v>102</v>
      </c>
      <c r="F9">
        <v>38.92</v>
      </c>
      <c r="G9">
        <v>0</v>
      </c>
      <c r="H9">
        <v>1.52</v>
      </c>
      <c r="J9">
        <v>5.7099999999999937</v>
      </c>
      <c r="K9">
        <v>46.15</v>
      </c>
      <c r="L9">
        <v>17.116443701226316</v>
      </c>
      <c r="M9">
        <v>63.266443701226315</v>
      </c>
      <c r="N9">
        <v>19.611121579182683</v>
      </c>
      <c r="O9">
        <v>0</v>
      </c>
    </row>
    <row r="11" spans="1:16">
      <c r="A11">
        <v>3</v>
      </c>
      <c r="C11">
        <v>1</v>
      </c>
      <c r="D11" t="s">
        <v>127</v>
      </c>
      <c r="E11">
        <v>103</v>
      </c>
      <c r="F11">
        <v>41.72</v>
      </c>
      <c r="G11">
        <v>2.19</v>
      </c>
      <c r="H11">
        <v>0</v>
      </c>
      <c r="J11">
        <v>8.0600000000000023</v>
      </c>
      <c r="K11">
        <v>51.97</v>
      </c>
      <c r="L11">
        <v>18.078309178743964</v>
      </c>
      <c r="M11">
        <v>70.048309178743963</v>
      </c>
      <c r="N11">
        <v>21.713341660357916</v>
      </c>
      <c r="O11">
        <v>0</v>
      </c>
    </row>
    <row r="12" spans="1:16">
      <c r="A12" t="s">
        <v>137</v>
      </c>
    </row>
    <row r="13" spans="1:16">
      <c r="A13">
        <v>4</v>
      </c>
      <c r="C13">
        <v>1</v>
      </c>
      <c r="D13" t="s">
        <v>127</v>
      </c>
      <c r="E13">
        <v>104</v>
      </c>
      <c r="F13">
        <v>38.36</v>
      </c>
      <c r="G13">
        <v>0</v>
      </c>
      <c r="H13">
        <v>0</v>
      </c>
      <c r="J13">
        <v>4.759999999999998</v>
      </c>
      <c r="K13">
        <v>43.12</v>
      </c>
      <c r="L13">
        <v>16.801962095875147</v>
      </c>
      <c r="M13">
        <v>59.921962095875145</v>
      </c>
      <c r="N13">
        <v>18.574410306274348</v>
      </c>
      <c r="O13">
        <v>0</v>
      </c>
    </row>
    <row r="15" spans="1:16">
      <c r="A15">
        <v>5</v>
      </c>
      <c r="C15">
        <v>1</v>
      </c>
      <c r="D15" t="s">
        <v>127</v>
      </c>
      <c r="E15">
        <v>105</v>
      </c>
      <c r="F15">
        <v>41.4</v>
      </c>
      <c r="G15">
        <v>0</v>
      </c>
      <c r="H15">
        <v>2.3199999999999998</v>
      </c>
      <c r="J15">
        <v>4.8500000000000014</v>
      </c>
      <c r="K15">
        <v>48.57</v>
      </c>
      <c r="L15">
        <v>17.855120772946869</v>
      </c>
      <c r="M15">
        <v>66.425120772946869</v>
      </c>
      <c r="N15">
        <v>20.59023778137389</v>
      </c>
      <c r="O15">
        <v>0</v>
      </c>
    </row>
    <row r="17" spans="1:16">
      <c r="B17" t="s">
        <v>130</v>
      </c>
    </row>
    <row r="18" spans="1:16">
      <c r="A18">
        <v>6</v>
      </c>
      <c r="C18">
        <v>1</v>
      </c>
      <c r="D18" t="s">
        <v>127</v>
      </c>
      <c r="E18">
        <v>101</v>
      </c>
      <c r="F18">
        <v>57.56</v>
      </c>
      <c r="G18">
        <v>0</v>
      </c>
      <c r="H18">
        <v>0</v>
      </c>
      <c r="J18">
        <v>6.1699999999999946</v>
      </c>
      <c r="K18">
        <v>63.73</v>
      </c>
      <c r="L18">
        <v>24.062642140468235</v>
      </c>
      <c r="M18">
        <v>87.792642140468232</v>
      </c>
      <c r="N18">
        <v>27.21367091384381</v>
      </c>
      <c r="O18">
        <v>0</v>
      </c>
      <c r="P18">
        <v>0</v>
      </c>
    </row>
    <row r="20" spans="1:16">
      <c r="A20">
        <v>7</v>
      </c>
      <c r="C20">
        <v>1</v>
      </c>
      <c r="D20" t="s">
        <v>127</v>
      </c>
      <c r="E20">
        <v>102</v>
      </c>
      <c r="F20">
        <v>54.43</v>
      </c>
      <c r="G20">
        <v>5.95</v>
      </c>
      <c r="H20">
        <v>0</v>
      </c>
      <c r="J20">
        <v>9.8699999999999974</v>
      </c>
      <c r="K20">
        <v>70.25</v>
      </c>
      <c r="L20">
        <v>25.996748420661476</v>
      </c>
      <c r="M20">
        <v>96.246748420661476</v>
      </c>
      <c r="N20">
        <v>29.834246631473217</v>
      </c>
      <c r="O20">
        <v>0</v>
      </c>
    </row>
    <row r="22" spans="1:16">
      <c r="A22">
        <v>8</v>
      </c>
      <c r="C22">
        <v>1</v>
      </c>
      <c r="D22" t="s">
        <v>127</v>
      </c>
      <c r="E22">
        <v>103</v>
      </c>
      <c r="F22">
        <v>43.53</v>
      </c>
      <c r="G22">
        <v>3.56</v>
      </c>
      <c r="H22">
        <v>0</v>
      </c>
      <c r="J22">
        <v>6.0499999999999972</v>
      </c>
      <c r="K22">
        <v>53.14</v>
      </c>
      <c r="L22">
        <v>19.695377183203277</v>
      </c>
      <c r="M22">
        <v>72.835377183203278</v>
      </c>
      <c r="N22">
        <v>22.577267721114865</v>
      </c>
      <c r="O22">
        <v>0</v>
      </c>
      <c r="P22">
        <v>1</v>
      </c>
    </row>
    <row r="24" spans="1:16">
      <c r="A24">
        <v>9</v>
      </c>
      <c r="C24">
        <v>1</v>
      </c>
      <c r="D24" t="s">
        <v>124</v>
      </c>
      <c r="E24">
        <v>104</v>
      </c>
      <c r="F24">
        <v>68.67</v>
      </c>
      <c r="G24">
        <v>6.22</v>
      </c>
      <c r="H24">
        <v>0</v>
      </c>
      <c r="J24">
        <v>9.6799999999999926</v>
      </c>
      <c r="K24">
        <v>84.57</v>
      </c>
      <c r="L24">
        <v>30.907517651430709</v>
      </c>
      <c r="M24">
        <v>115.4775176514307</v>
      </c>
      <c r="N24">
        <v>35.795336450696141</v>
      </c>
      <c r="O24">
        <v>1</v>
      </c>
    </row>
    <row r="26" spans="1:16">
      <c r="A26">
        <v>10</v>
      </c>
      <c r="C26">
        <v>1</v>
      </c>
      <c r="D26" t="s">
        <v>127</v>
      </c>
      <c r="E26">
        <v>105</v>
      </c>
      <c r="F26">
        <v>53.47</v>
      </c>
      <c r="G26">
        <v>7.41</v>
      </c>
      <c r="H26">
        <v>0</v>
      </c>
      <c r="J26">
        <v>7.8900000000000006</v>
      </c>
      <c r="K26">
        <v>68.77</v>
      </c>
      <c r="L26">
        <v>24.968387216648097</v>
      </c>
      <c r="M26">
        <v>93.738387216648093</v>
      </c>
      <c r="N26">
        <v>29.056713176791963</v>
      </c>
      <c r="O26">
        <v>0</v>
      </c>
    </row>
    <row r="28" spans="1:16">
      <c r="A28">
        <v>11</v>
      </c>
      <c r="C28">
        <v>1</v>
      </c>
      <c r="D28" t="s">
        <v>127</v>
      </c>
      <c r="E28">
        <v>106</v>
      </c>
      <c r="F28">
        <v>60.34</v>
      </c>
      <c r="G28">
        <v>4.26</v>
      </c>
      <c r="H28">
        <v>0</v>
      </c>
      <c r="J28">
        <v>9.6899999999999977</v>
      </c>
      <c r="K28">
        <v>74.290000000000006</v>
      </c>
      <c r="L28">
        <v>27.437982162764769</v>
      </c>
      <c r="M28">
        <v>101.72798216276477</v>
      </c>
      <c r="N28">
        <v>31.533301217628541</v>
      </c>
      <c r="O28">
        <v>0</v>
      </c>
    </row>
    <row r="30" spans="1:16">
      <c r="A30">
        <v>12</v>
      </c>
      <c r="C30">
        <v>1</v>
      </c>
      <c r="D30" t="s">
        <v>124</v>
      </c>
      <c r="E30">
        <v>108</v>
      </c>
      <c r="F30">
        <v>76.22</v>
      </c>
      <c r="G30">
        <v>8.77</v>
      </c>
      <c r="H30">
        <v>0</v>
      </c>
      <c r="J30">
        <v>9.5600000000000023</v>
      </c>
      <c r="K30">
        <v>94.55</v>
      </c>
      <c r="L30">
        <v>34.955759940542563</v>
      </c>
      <c r="M30">
        <v>129.50575994054256</v>
      </c>
      <c r="N30">
        <v>40.143764289839439</v>
      </c>
      <c r="O30">
        <v>1</v>
      </c>
    </row>
    <row r="32" spans="1:16">
      <c r="A32">
        <v>13</v>
      </c>
      <c r="C32">
        <v>1</v>
      </c>
      <c r="D32" t="s">
        <v>127</v>
      </c>
      <c r="E32">
        <v>110</v>
      </c>
      <c r="F32">
        <v>55.13</v>
      </c>
      <c r="G32">
        <v>8.99</v>
      </c>
      <c r="H32">
        <v>0</v>
      </c>
      <c r="J32">
        <v>5.9599999999999937</v>
      </c>
      <c r="K32">
        <v>70.08</v>
      </c>
      <c r="L32">
        <v>25.051921218877752</v>
      </c>
      <c r="M32">
        <v>95.13192121887775</v>
      </c>
      <c r="N32">
        <v>29.488676207170435</v>
      </c>
      <c r="O32">
        <v>0</v>
      </c>
    </row>
    <row r="34" spans="1:16">
      <c r="A34">
        <v>14</v>
      </c>
      <c r="C34">
        <v>1</v>
      </c>
      <c r="D34" t="s">
        <v>128</v>
      </c>
      <c r="E34">
        <v>111</v>
      </c>
      <c r="F34">
        <v>28.45</v>
      </c>
      <c r="G34">
        <v>0</v>
      </c>
      <c r="H34">
        <v>0</v>
      </c>
      <c r="J34">
        <v>6.629999999999999</v>
      </c>
      <c r="K34">
        <v>35.08</v>
      </c>
      <c r="L34">
        <v>10.256306205871425</v>
      </c>
      <c r="M34">
        <v>45.336306205871423</v>
      </c>
      <c r="N34">
        <v>14.05319725497966</v>
      </c>
      <c r="O34">
        <v>0</v>
      </c>
    </row>
    <row r="36" spans="1:16">
      <c r="A36">
        <v>15</v>
      </c>
      <c r="C36">
        <v>1</v>
      </c>
      <c r="D36" t="s">
        <v>127</v>
      </c>
      <c r="E36">
        <v>112</v>
      </c>
      <c r="F36">
        <v>55.13</v>
      </c>
      <c r="G36">
        <v>8.99</v>
      </c>
      <c r="H36">
        <v>0</v>
      </c>
      <c r="J36">
        <v>7.8499999999999943</v>
      </c>
      <c r="K36">
        <v>71.97</v>
      </c>
      <c r="L36">
        <v>26.599305091044229</v>
      </c>
      <c r="M36">
        <v>98.569305091044228</v>
      </c>
      <c r="N36">
        <v>30.554185015437337</v>
      </c>
      <c r="O36">
        <v>0</v>
      </c>
    </row>
    <row r="38" spans="1:16">
      <c r="A38">
        <v>16</v>
      </c>
      <c r="C38">
        <v>1</v>
      </c>
      <c r="D38" t="s">
        <v>127</v>
      </c>
      <c r="E38">
        <v>113</v>
      </c>
      <c r="F38">
        <v>54.8</v>
      </c>
      <c r="G38">
        <v>3.87</v>
      </c>
      <c r="H38">
        <v>3.88</v>
      </c>
      <c r="J38">
        <v>6.7999999999999972</v>
      </c>
      <c r="K38">
        <v>69.349999999999994</v>
      </c>
      <c r="L38">
        <v>26.525139353400235</v>
      </c>
      <c r="M38">
        <v>95.875139353400229</v>
      </c>
      <c r="N38">
        <v>29.719056490038955</v>
      </c>
      <c r="O38">
        <v>0</v>
      </c>
    </row>
    <row r="40" spans="1:16">
      <c r="A40">
        <v>17</v>
      </c>
      <c r="C40">
        <v>1</v>
      </c>
      <c r="D40" t="s">
        <v>127</v>
      </c>
      <c r="E40">
        <v>114</v>
      </c>
      <c r="F40">
        <v>57.98</v>
      </c>
      <c r="G40">
        <v>12.02</v>
      </c>
      <c r="H40">
        <v>0</v>
      </c>
      <c r="J40">
        <v>7.9300000000000068</v>
      </c>
      <c r="K40">
        <v>77.930000000000007</v>
      </c>
      <c r="L40">
        <v>28.814704570791534</v>
      </c>
      <c r="M40">
        <v>106.74470457079154</v>
      </c>
      <c r="N40">
        <v>33.08836812699105</v>
      </c>
      <c r="O40">
        <v>1</v>
      </c>
    </row>
    <row r="42" spans="1:16">
      <c r="A42">
        <v>18</v>
      </c>
      <c r="C42">
        <v>1</v>
      </c>
      <c r="D42" t="s">
        <v>127</v>
      </c>
      <c r="E42">
        <v>115</v>
      </c>
      <c r="F42">
        <v>58.39</v>
      </c>
      <c r="G42">
        <v>3.46</v>
      </c>
      <c r="H42">
        <v>0</v>
      </c>
      <c r="J42">
        <v>7.3399999999999963</v>
      </c>
      <c r="K42">
        <v>69.19</v>
      </c>
      <c r="L42">
        <v>25.570312151616506</v>
      </c>
      <c r="M42">
        <v>94.760312151616503</v>
      </c>
      <c r="N42">
        <v>29.373486065736174</v>
      </c>
      <c r="O42">
        <v>0</v>
      </c>
    </row>
    <row r="44" spans="1:16">
      <c r="A44">
        <v>19</v>
      </c>
      <c r="C44">
        <v>1</v>
      </c>
      <c r="D44" t="s">
        <v>127</v>
      </c>
      <c r="E44">
        <v>116</v>
      </c>
      <c r="F44">
        <v>53.31</v>
      </c>
      <c r="G44">
        <v>4.78</v>
      </c>
      <c r="H44">
        <v>0</v>
      </c>
      <c r="J44">
        <v>7.1899999999999977</v>
      </c>
      <c r="K44">
        <v>65.28</v>
      </c>
      <c r="L44">
        <v>24.091980676328504</v>
      </c>
      <c r="M44">
        <v>89.371980676328505</v>
      </c>
      <c r="N44">
        <v>27.703229014939414</v>
      </c>
      <c r="O44">
        <v>0</v>
      </c>
      <c r="P44">
        <v>0</v>
      </c>
    </row>
    <row r="46" spans="1:16">
      <c r="A46">
        <v>20</v>
      </c>
      <c r="C46">
        <v>1</v>
      </c>
      <c r="D46" t="s">
        <v>124</v>
      </c>
      <c r="E46">
        <v>117</v>
      </c>
      <c r="F46">
        <v>75.86</v>
      </c>
      <c r="G46">
        <v>5.52</v>
      </c>
      <c r="H46">
        <v>3.32</v>
      </c>
      <c r="J46">
        <v>7.4800000000000182</v>
      </c>
      <c r="K46">
        <v>92.18</v>
      </c>
      <c r="L46">
        <v>33.981278335191377</v>
      </c>
      <c r="M46">
        <v>126.16127833519138</v>
      </c>
      <c r="N46">
        <v>39.107053016931104</v>
      </c>
      <c r="O46">
        <v>1</v>
      </c>
    </row>
    <row r="48" spans="1:16">
      <c r="A48">
        <v>21</v>
      </c>
      <c r="C48">
        <v>1</v>
      </c>
      <c r="D48" t="s">
        <v>124</v>
      </c>
      <c r="E48">
        <v>118</v>
      </c>
      <c r="F48">
        <v>74.41</v>
      </c>
      <c r="G48">
        <v>5.7</v>
      </c>
      <c r="H48">
        <v>0</v>
      </c>
      <c r="J48">
        <v>6.6800000000000068</v>
      </c>
      <c r="K48">
        <v>86.79</v>
      </c>
      <c r="L48">
        <v>32.217803790412489</v>
      </c>
      <c r="M48">
        <v>119.0078037904125</v>
      </c>
      <c r="N48">
        <v>36.88964279432161</v>
      </c>
      <c r="O48">
        <v>1</v>
      </c>
    </row>
    <row r="50" spans="1:16">
      <c r="B50" t="s">
        <v>129</v>
      </c>
    </row>
    <row r="51" spans="1:16">
      <c r="A51">
        <v>22</v>
      </c>
      <c r="C51">
        <v>2</v>
      </c>
      <c r="D51" t="s">
        <v>127</v>
      </c>
      <c r="E51">
        <v>201</v>
      </c>
      <c r="F51">
        <v>40.49</v>
      </c>
      <c r="G51">
        <v>0</v>
      </c>
      <c r="H51">
        <v>0</v>
      </c>
      <c r="J51">
        <v>4.8299999999999983</v>
      </c>
      <c r="K51">
        <v>45.32</v>
      </c>
      <c r="L51">
        <v>16.738714232627281</v>
      </c>
      <c r="M51">
        <v>62.058714232627281</v>
      </c>
      <c r="N51">
        <v>19.236753619521338</v>
      </c>
      <c r="O51">
        <v>0</v>
      </c>
    </row>
    <row r="53" spans="1:16">
      <c r="A53">
        <v>23</v>
      </c>
      <c r="C53">
        <v>2</v>
      </c>
      <c r="D53" t="s">
        <v>127</v>
      </c>
      <c r="E53">
        <v>202</v>
      </c>
      <c r="F53">
        <v>38.92</v>
      </c>
      <c r="G53">
        <v>0</v>
      </c>
      <c r="H53">
        <v>1.52</v>
      </c>
      <c r="J53">
        <v>5.7099999999999937</v>
      </c>
      <c r="K53">
        <v>46.15</v>
      </c>
      <c r="L53">
        <v>17.116443701226316</v>
      </c>
      <c r="M53">
        <v>63.266443701226315</v>
      </c>
      <c r="N53">
        <v>19.611121579182683</v>
      </c>
      <c r="O53">
        <v>0</v>
      </c>
    </row>
    <row r="55" spans="1:16">
      <c r="A55">
        <v>24</v>
      </c>
      <c r="C55">
        <v>2</v>
      </c>
      <c r="D55" t="s">
        <v>127</v>
      </c>
      <c r="E55">
        <v>203</v>
      </c>
      <c r="F55">
        <v>41.72</v>
      </c>
      <c r="G55">
        <v>2.19</v>
      </c>
      <c r="H55">
        <v>0</v>
      </c>
      <c r="J55">
        <v>8.0600000000000023</v>
      </c>
      <c r="K55">
        <v>51.97</v>
      </c>
      <c r="L55">
        <v>18.078309178743964</v>
      </c>
      <c r="M55">
        <v>70.048309178743963</v>
      </c>
      <c r="N55">
        <v>21.713341660357916</v>
      </c>
      <c r="O55">
        <v>0</v>
      </c>
    </row>
    <row r="57" spans="1:16">
      <c r="A57">
        <v>25</v>
      </c>
      <c r="C57">
        <v>2</v>
      </c>
      <c r="D57" t="s">
        <v>127</v>
      </c>
      <c r="E57">
        <v>204</v>
      </c>
      <c r="F57">
        <v>38.36</v>
      </c>
      <c r="G57">
        <v>0</v>
      </c>
      <c r="H57">
        <v>0</v>
      </c>
      <c r="J57">
        <v>4.759999999999998</v>
      </c>
      <c r="K57">
        <v>43.12</v>
      </c>
      <c r="L57">
        <v>16.801962095875147</v>
      </c>
      <c r="M57">
        <v>59.921962095875145</v>
      </c>
      <c r="N57">
        <v>18.574410306274348</v>
      </c>
      <c r="O57">
        <v>0</v>
      </c>
    </row>
    <row r="59" spans="1:16">
      <c r="A59">
        <v>26</v>
      </c>
      <c r="C59">
        <v>2</v>
      </c>
      <c r="D59" t="s">
        <v>127</v>
      </c>
      <c r="E59">
        <v>205</v>
      </c>
      <c r="F59">
        <v>41.4</v>
      </c>
      <c r="G59">
        <v>0</v>
      </c>
      <c r="H59">
        <v>2.3199999999999998</v>
      </c>
      <c r="J59">
        <v>4.8500000000000014</v>
      </c>
      <c r="K59">
        <v>48.57</v>
      </c>
      <c r="L59">
        <v>17.855120772946869</v>
      </c>
      <c r="M59">
        <v>66.425120772946869</v>
      </c>
      <c r="N59">
        <v>20.59023778137389</v>
      </c>
      <c r="O59">
        <v>0</v>
      </c>
    </row>
    <row r="61" spans="1:16">
      <c r="B61" t="s">
        <v>130</v>
      </c>
    </row>
    <row r="62" spans="1:16">
      <c r="A62">
        <v>27</v>
      </c>
      <c r="C62">
        <v>2</v>
      </c>
      <c r="D62" t="s">
        <v>127</v>
      </c>
      <c r="E62">
        <v>201</v>
      </c>
      <c r="F62">
        <v>57.56</v>
      </c>
      <c r="G62">
        <v>0</v>
      </c>
      <c r="H62">
        <v>0</v>
      </c>
      <c r="J62">
        <v>6.1699999999999946</v>
      </c>
      <c r="K62">
        <v>63.73</v>
      </c>
      <c r="L62">
        <v>24.062642140468235</v>
      </c>
      <c r="M62">
        <v>87.792642140468232</v>
      </c>
      <c r="N62">
        <v>27.21367091384381</v>
      </c>
      <c r="O62">
        <v>0</v>
      </c>
      <c r="P62">
        <v>0</v>
      </c>
    </row>
    <row r="64" spans="1:16">
      <c r="A64">
        <v>28</v>
      </c>
      <c r="C64">
        <v>2</v>
      </c>
      <c r="D64" t="s">
        <v>127</v>
      </c>
      <c r="E64">
        <v>202</v>
      </c>
      <c r="F64">
        <v>54.43</v>
      </c>
      <c r="G64">
        <v>5.95</v>
      </c>
      <c r="H64">
        <v>0</v>
      </c>
      <c r="J64">
        <v>8.2100000000000009</v>
      </c>
      <c r="K64">
        <v>68.59</v>
      </c>
      <c r="L64">
        <v>25.427094017094021</v>
      </c>
      <c r="M64">
        <v>94.017094017094024</v>
      </c>
      <c r="N64">
        <v>29.143105782867657</v>
      </c>
      <c r="O64">
        <v>0</v>
      </c>
    </row>
    <row r="66" spans="1:16">
      <c r="A66">
        <v>29</v>
      </c>
      <c r="C66">
        <v>2</v>
      </c>
      <c r="D66" t="s">
        <v>127</v>
      </c>
      <c r="E66">
        <v>203</v>
      </c>
      <c r="F66">
        <v>43.53</v>
      </c>
      <c r="G66">
        <v>3.56</v>
      </c>
      <c r="H66">
        <v>0</v>
      </c>
      <c r="J66">
        <v>6.0499999999999972</v>
      </c>
      <c r="K66">
        <v>53.14</v>
      </c>
      <c r="L66">
        <v>19.788279450018578</v>
      </c>
      <c r="M66">
        <v>72.928279450018579</v>
      </c>
      <c r="N66">
        <v>22.606065256473428</v>
      </c>
      <c r="O66">
        <v>0</v>
      </c>
      <c r="P66">
        <v>0</v>
      </c>
    </row>
    <row r="68" spans="1:16">
      <c r="A68">
        <v>30</v>
      </c>
      <c r="C68">
        <v>2</v>
      </c>
      <c r="D68" t="s">
        <v>124</v>
      </c>
      <c r="E68">
        <v>204</v>
      </c>
      <c r="F68">
        <v>68.67</v>
      </c>
      <c r="G68">
        <v>5.76</v>
      </c>
      <c r="H68">
        <v>0</v>
      </c>
      <c r="J68">
        <v>9.25</v>
      </c>
      <c r="K68">
        <v>83.68</v>
      </c>
      <c r="L68">
        <v>30.589788182831654</v>
      </c>
      <c r="M68">
        <v>114.26978818283166</v>
      </c>
      <c r="N68">
        <v>35.420968491034799</v>
      </c>
      <c r="O68">
        <v>1</v>
      </c>
    </row>
    <row r="70" spans="1:16">
      <c r="A70">
        <v>31</v>
      </c>
      <c r="C70">
        <v>2</v>
      </c>
      <c r="D70" t="s">
        <v>127</v>
      </c>
      <c r="E70">
        <v>205</v>
      </c>
      <c r="F70">
        <v>53.47</v>
      </c>
      <c r="G70">
        <v>7.41</v>
      </c>
      <c r="H70">
        <v>0</v>
      </c>
      <c r="J70">
        <v>8.0100000000000051</v>
      </c>
      <c r="K70">
        <v>68.89</v>
      </c>
      <c r="L70">
        <v>24.941289483463407</v>
      </c>
      <c r="M70">
        <v>93.831289483463408</v>
      </c>
      <c r="N70">
        <v>29.08551071215053</v>
      </c>
      <c r="O70">
        <v>0</v>
      </c>
    </row>
    <row r="72" spans="1:16">
      <c r="A72">
        <v>32</v>
      </c>
      <c r="C72">
        <v>2</v>
      </c>
      <c r="D72" t="s">
        <v>127</v>
      </c>
      <c r="E72">
        <v>206</v>
      </c>
      <c r="F72">
        <v>60.34</v>
      </c>
      <c r="G72">
        <v>4.57</v>
      </c>
      <c r="H72">
        <v>0</v>
      </c>
      <c r="J72">
        <v>9.3800000000000097</v>
      </c>
      <c r="K72">
        <v>74.290000000000006</v>
      </c>
      <c r="L72">
        <v>27.437982162764769</v>
      </c>
      <c r="M72">
        <v>101.72798216276477</v>
      </c>
      <c r="N72">
        <v>31.533301217628541</v>
      </c>
      <c r="O72">
        <v>0</v>
      </c>
    </row>
    <row r="74" spans="1:16">
      <c r="A74">
        <v>33</v>
      </c>
      <c r="C74">
        <v>2</v>
      </c>
      <c r="D74" t="s">
        <v>124</v>
      </c>
      <c r="E74">
        <v>207</v>
      </c>
      <c r="F74">
        <v>79.67</v>
      </c>
      <c r="G74">
        <v>5.52</v>
      </c>
      <c r="H74">
        <v>0</v>
      </c>
      <c r="J74">
        <v>8.9200000000000017</v>
      </c>
      <c r="K74">
        <v>94.11</v>
      </c>
      <c r="L74">
        <v>31.40096246748422</v>
      </c>
      <c r="M74">
        <v>125.51096246748422</v>
      </c>
      <c r="N74">
        <v>38.905470269421151</v>
      </c>
      <c r="O74">
        <v>1</v>
      </c>
    </row>
    <row r="76" spans="1:16">
      <c r="A76">
        <v>34</v>
      </c>
      <c r="C76">
        <v>2</v>
      </c>
      <c r="D76" t="s">
        <v>124</v>
      </c>
      <c r="E76">
        <v>208</v>
      </c>
      <c r="F76">
        <v>76.22</v>
      </c>
      <c r="G76">
        <v>7.49</v>
      </c>
      <c r="H76">
        <v>0</v>
      </c>
      <c r="J76">
        <v>9.4300000000000068</v>
      </c>
      <c r="K76">
        <v>93.14</v>
      </c>
      <c r="L76">
        <v>34.507714604236355</v>
      </c>
      <c r="M76">
        <v>127.64771460423636</v>
      </c>
      <c r="N76">
        <v>39.567813582668144</v>
      </c>
      <c r="O76">
        <v>1</v>
      </c>
    </row>
    <row r="78" spans="1:16">
      <c r="A78">
        <v>35</v>
      </c>
      <c r="C78">
        <v>2</v>
      </c>
      <c r="D78" t="s">
        <v>124</v>
      </c>
      <c r="E78">
        <v>209</v>
      </c>
      <c r="F78">
        <v>77.47</v>
      </c>
      <c r="G78">
        <v>5.18</v>
      </c>
      <c r="H78">
        <v>0</v>
      </c>
      <c r="J78">
        <v>8.9799999999999898</v>
      </c>
      <c r="K78">
        <v>91.63</v>
      </c>
      <c r="L78">
        <v>33.602255667038293</v>
      </c>
      <c r="M78">
        <v>125.23225566703829</v>
      </c>
      <c r="N78">
        <v>38.81907766334546</v>
      </c>
      <c r="O78">
        <v>1</v>
      </c>
    </row>
    <row r="80" spans="1:16">
      <c r="A80">
        <v>36</v>
      </c>
      <c r="C80">
        <v>2</v>
      </c>
      <c r="D80" t="s">
        <v>127</v>
      </c>
      <c r="E80">
        <v>210</v>
      </c>
      <c r="F80">
        <v>55.13</v>
      </c>
      <c r="G80">
        <v>7.08</v>
      </c>
      <c r="H80">
        <v>0</v>
      </c>
      <c r="J80">
        <v>5.970000000000006</v>
      </c>
      <c r="K80">
        <v>68.180000000000007</v>
      </c>
      <c r="L80">
        <v>24.164853214418429</v>
      </c>
      <c r="M80">
        <v>92.344853214418436</v>
      </c>
      <c r="N80">
        <v>28.62475014641349</v>
      </c>
      <c r="O80">
        <v>0</v>
      </c>
    </row>
    <row r="82" spans="1:15">
      <c r="A82">
        <v>37</v>
      </c>
      <c r="C82">
        <v>2</v>
      </c>
      <c r="D82" t="s">
        <v>128</v>
      </c>
      <c r="E82">
        <v>211</v>
      </c>
      <c r="F82">
        <v>28.45</v>
      </c>
      <c r="G82">
        <v>0</v>
      </c>
      <c r="H82">
        <v>0</v>
      </c>
      <c r="J82">
        <v>4.5999999999999979</v>
      </c>
      <c r="K82">
        <v>33.049999999999997</v>
      </c>
      <c r="L82">
        <v>12.286306205871426</v>
      </c>
      <c r="M82">
        <v>45.336306205871423</v>
      </c>
      <c r="N82">
        <v>14.05319725497966</v>
      </c>
      <c r="O82">
        <v>0</v>
      </c>
    </row>
    <row r="84" spans="1:15">
      <c r="A84">
        <v>38</v>
      </c>
      <c r="C84">
        <v>2</v>
      </c>
      <c r="D84" t="s">
        <v>127</v>
      </c>
      <c r="E84">
        <v>212</v>
      </c>
      <c r="F84">
        <v>55.13</v>
      </c>
      <c r="G84">
        <v>7.08</v>
      </c>
      <c r="H84">
        <v>0</v>
      </c>
      <c r="J84">
        <v>7.6999999999999957</v>
      </c>
      <c r="K84">
        <v>69.91</v>
      </c>
      <c r="L84">
        <v>25.872237086584917</v>
      </c>
      <c r="M84">
        <v>95.782237086584914</v>
      </c>
      <c r="N84">
        <v>29.690258954680388</v>
      </c>
      <c r="O84">
        <v>0</v>
      </c>
    </row>
    <row r="86" spans="1:15">
      <c r="A86">
        <v>39</v>
      </c>
      <c r="C86">
        <v>2</v>
      </c>
      <c r="D86" t="s">
        <v>127</v>
      </c>
      <c r="E86">
        <v>213</v>
      </c>
      <c r="F86">
        <v>54.8</v>
      </c>
      <c r="G86">
        <v>3.87</v>
      </c>
      <c r="H86">
        <v>3.88</v>
      </c>
      <c r="J86">
        <v>7.210000000000008</v>
      </c>
      <c r="K86">
        <v>69.760000000000005</v>
      </c>
      <c r="L86">
        <v>26.672552954292087</v>
      </c>
      <c r="M86">
        <v>96.432552954292092</v>
      </c>
      <c r="N86">
        <v>29.891841702190344</v>
      </c>
      <c r="O86">
        <v>0</v>
      </c>
    </row>
    <row r="88" spans="1:15">
      <c r="A88">
        <v>40</v>
      </c>
      <c r="C88">
        <v>2</v>
      </c>
      <c r="D88" t="s">
        <v>127</v>
      </c>
      <c r="E88">
        <v>214</v>
      </c>
      <c r="F88">
        <v>57.98</v>
      </c>
      <c r="G88">
        <v>8.83</v>
      </c>
      <c r="H88">
        <v>0</v>
      </c>
      <c r="J88">
        <v>7.3900000000000006</v>
      </c>
      <c r="K88">
        <v>74.2</v>
      </c>
      <c r="L88">
        <v>27.806688963210703</v>
      </c>
      <c r="M88">
        <v>102.00668896321071</v>
      </c>
      <c r="N88">
        <v>31.619693823704235</v>
      </c>
      <c r="O88">
        <v>0</v>
      </c>
    </row>
    <row r="90" spans="1:15">
      <c r="A90">
        <v>41</v>
      </c>
      <c r="C90">
        <v>2</v>
      </c>
      <c r="D90" t="s">
        <v>127</v>
      </c>
      <c r="E90">
        <v>215</v>
      </c>
      <c r="F90">
        <v>58.39</v>
      </c>
      <c r="G90">
        <v>3.46</v>
      </c>
      <c r="H90">
        <v>0</v>
      </c>
      <c r="J90">
        <v>7.3399999999999963</v>
      </c>
      <c r="K90">
        <v>69.19</v>
      </c>
      <c r="L90">
        <v>25.570312151616506</v>
      </c>
      <c r="M90">
        <v>94.760312151616503</v>
      </c>
      <c r="N90">
        <v>29.373486065736174</v>
      </c>
      <c r="O90">
        <v>0</v>
      </c>
    </row>
    <row r="92" spans="1:15">
      <c r="A92">
        <v>42</v>
      </c>
      <c r="C92">
        <v>2</v>
      </c>
      <c r="D92" t="s">
        <v>127</v>
      </c>
      <c r="E92">
        <v>216</v>
      </c>
      <c r="F92">
        <v>53.31</v>
      </c>
      <c r="G92">
        <v>4.78</v>
      </c>
      <c r="H92">
        <v>0</v>
      </c>
      <c r="J92">
        <v>7.1899999999999977</v>
      </c>
      <c r="K92">
        <v>65.28</v>
      </c>
      <c r="L92">
        <v>24.091980676328504</v>
      </c>
      <c r="M92">
        <v>89.371980676328505</v>
      </c>
      <c r="N92">
        <v>27.703229014939414</v>
      </c>
      <c r="O92">
        <v>0</v>
      </c>
    </row>
    <row r="94" spans="1:15">
      <c r="A94">
        <v>43</v>
      </c>
      <c r="C94">
        <v>2</v>
      </c>
      <c r="D94" t="s">
        <v>124</v>
      </c>
      <c r="E94">
        <v>217</v>
      </c>
      <c r="F94">
        <v>75.86</v>
      </c>
      <c r="G94">
        <v>5.52</v>
      </c>
      <c r="H94">
        <v>3.32</v>
      </c>
      <c r="J94">
        <v>7.4800000000000182</v>
      </c>
      <c r="K94">
        <v>92.18</v>
      </c>
      <c r="L94">
        <v>33.981278335191377</v>
      </c>
      <c r="M94">
        <v>126.16127833519138</v>
      </c>
      <c r="N94">
        <v>39.107053016931104</v>
      </c>
      <c r="O94">
        <v>1</v>
      </c>
    </row>
    <row r="96" spans="1:15">
      <c r="A96">
        <v>44</v>
      </c>
      <c r="C96">
        <v>2</v>
      </c>
      <c r="D96" t="s">
        <v>124</v>
      </c>
      <c r="E96">
        <v>218</v>
      </c>
      <c r="F96">
        <v>74.41</v>
      </c>
      <c r="G96">
        <v>5.71</v>
      </c>
      <c r="H96">
        <v>0</v>
      </c>
      <c r="J96">
        <v>6.6700000000000159</v>
      </c>
      <c r="K96">
        <v>86.79</v>
      </c>
      <c r="L96">
        <v>32.217803790412489</v>
      </c>
      <c r="M96">
        <v>119.0078037904125</v>
      </c>
      <c r="N96">
        <v>36.88964279432161</v>
      </c>
      <c r="O96">
        <v>1</v>
      </c>
    </row>
    <row r="98" spans="1:15">
      <c r="B98" t="s">
        <v>129</v>
      </c>
    </row>
    <row r="99" spans="1:15">
      <c r="A99">
        <v>45</v>
      </c>
      <c r="C99">
        <v>3</v>
      </c>
      <c r="D99" t="s">
        <v>127</v>
      </c>
      <c r="E99">
        <v>301</v>
      </c>
      <c r="F99">
        <v>40.49</v>
      </c>
      <c r="G99">
        <v>0</v>
      </c>
      <c r="H99">
        <v>0</v>
      </c>
      <c r="J99">
        <v>4.8299999999999983</v>
      </c>
      <c r="K99">
        <v>45.32</v>
      </c>
      <c r="L99">
        <v>16.738714232627281</v>
      </c>
      <c r="M99">
        <v>62.058714232627281</v>
      </c>
      <c r="N99">
        <v>19.236753619521338</v>
      </c>
      <c r="O99">
        <v>0</v>
      </c>
    </row>
    <row r="101" spans="1:15">
      <c r="A101">
        <v>46</v>
      </c>
      <c r="C101">
        <v>3</v>
      </c>
      <c r="D101" t="s">
        <v>127</v>
      </c>
      <c r="E101">
        <v>302</v>
      </c>
      <c r="F101">
        <v>38.92</v>
      </c>
      <c r="G101">
        <v>0</v>
      </c>
      <c r="H101">
        <v>1.52</v>
      </c>
      <c r="J101">
        <v>5.7099999999999937</v>
      </c>
      <c r="K101">
        <v>46.15</v>
      </c>
      <c r="L101">
        <v>17.116443701226316</v>
      </c>
      <c r="M101">
        <v>63.266443701226315</v>
      </c>
      <c r="N101">
        <v>19.611121579182683</v>
      </c>
      <c r="O101">
        <v>0</v>
      </c>
    </row>
    <row r="103" spans="1:15">
      <c r="A103">
        <v>47</v>
      </c>
      <c r="C103">
        <v>3</v>
      </c>
      <c r="D103" t="s">
        <v>127</v>
      </c>
      <c r="E103">
        <v>303</v>
      </c>
      <c r="F103">
        <v>41.72</v>
      </c>
      <c r="G103">
        <v>2.19</v>
      </c>
      <c r="H103">
        <v>0</v>
      </c>
      <c r="J103">
        <v>8.0600000000000023</v>
      </c>
      <c r="K103">
        <v>51.97</v>
      </c>
      <c r="L103">
        <v>18.078309178743964</v>
      </c>
      <c r="M103">
        <v>70.048309178743963</v>
      </c>
      <c r="N103">
        <v>21.713341660357916</v>
      </c>
      <c r="O103">
        <v>0</v>
      </c>
    </row>
    <row r="105" spans="1:15">
      <c r="A105">
        <v>48</v>
      </c>
      <c r="C105">
        <v>3</v>
      </c>
      <c r="D105" t="s">
        <v>127</v>
      </c>
      <c r="E105">
        <v>304</v>
      </c>
      <c r="F105">
        <v>38.36</v>
      </c>
      <c r="G105">
        <v>0</v>
      </c>
      <c r="H105">
        <v>0</v>
      </c>
      <c r="J105">
        <v>4.759999999999998</v>
      </c>
      <c r="K105">
        <v>43.12</v>
      </c>
      <c r="L105">
        <v>16.801962095875147</v>
      </c>
      <c r="M105">
        <v>59.921962095875145</v>
      </c>
      <c r="N105">
        <v>18.574410306274348</v>
      </c>
      <c r="O105">
        <v>0</v>
      </c>
    </row>
    <row r="107" spans="1:15">
      <c r="A107">
        <v>49</v>
      </c>
      <c r="C107">
        <v>3</v>
      </c>
      <c r="D107" t="s">
        <v>127</v>
      </c>
      <c r="E107">
        <v>305</v>
      </c>
      <c r="F107">
        <v>41.4</v>
      </c>
      <c r="G107">
        <v>0</v>
      </c>
      <c r="H107">
        <v>2.3199999999999998</v>
      </c>
      <c r="J107">
        <v>4.8500000000000014</v>
      </c>
      <c r="K107">
        <v>48.57</v>
      </c>
      <c r="L107">
        <v>17.855120772946869</v>
      </c>
      <c r="M107">
        <v>66.425120772946869</v>
      </c>
      <c r="N107">
        <v>20.59023778137389</v>
      </c>
      <c r="O107">
        <v>0</v>
      </c>
    </row>
    <row r="109" spans="1:15">
      <c r="B109" t="s">
        <v>130</v>
      </c>
    </row>
    <row r="110" spans="1:15">
      <c r="A110">
        <v>50</v>
      </c>
      <c r="C110">
        <v>3</v>
      </c>
      <c r="D110" t="s">
        <v>127</v>
      </c>
      <c r="E110">
        <v>301</v>
      </c>
      <c r="F110">
        <v>57.56</v>
      </c>
      <c r="G110">
        <v>0</v>
      </c>
      <c r="H110">
        <v>0</v>
      </c>
      <c r="J110">
        <v>6.1699999999999946</v>
      </c>
      <c r="K110">
        <v>63.73</v>
      </c>
      <c r="L110">
        <v>24.062642140468235</v>
      </c>
      <c r="M110">
        <v>87.792642140468232</v>
      </c>
      <c r="N110">
        <v>27.21367091384381</v>
      </c>
      <c r="O110">
        <v>0</v>
      </c>
    </row>
    <row r="112" spans="1:15">
      <c r="A112">
        <v>51</v>
      </c>
      <c r="C112">
        <v>3</v>
      </c>
      <c r="D112" t="s">
        <v>127</v>
      </c>
      <c r="E112">
        <v>302</v>
      </c>
      <c r="F112">
        <v>54.43</v>
      </c>
      <c r="G112">
        <v>5.95</v>
      </c>
      <c r="H112">
        <v>0</v>
      </c>
      <c r="J112">
        <v>8.2100000000000009</v>
      </c>
      <c r="K112">
        <v>68.59</v>
      </c>
      <c r="L112">
        <v>25.427094017094021</v>
      </c>
      <c r="M112">
        <v>94.017094017094024</v>
      </c>
      <c r="N112">
        <v>29.143105782867657</v>
      </c>
      <c r="O112">
        <v>0</v>
      </c>
    </row>
    <row r="114" spans="1:15">
      <c r="A114">
        <v>52</v>
      </c>
      <c r="C114">
        <v>3</v>
      </c>
      <c r="D114" t="s">
        <v>127</v>
      </c>
      <c r="E114">
        <v>303</v>
      </c>
      <c r="F114">
        <v>43.53</v>
      </c>
      <c r="G114">
        <v>3.56</v>
      </c>
      <c r="H114">
        <v>0</v>
      </c>
      <c r="J114">
        <v>6.0499999999999972</v>
      </c>
      <c r="K114">
        <v>53.14</v>
      </c>
      <c r="L114">
        <v>19.788279450018578</v>
      </c>
      <c r="M114">
        <v>72.928279450018579</v>
      </c>
      <c r="N114">
        <v>22.606065256473428</v>
      </c>
      <c r="O114">
        <v>0</v>
      </c>
    </row>
    <row r="116" spans="1:15">
      <c r="A116">
        <v>53</v>
      </c>
      <c r="C116">
        <v>3</v>
      </c>
      <c r="D116" t="s">
        <v>124</v>
      </c>
      <c r="E116">
        <v>304</v>
      </c>
      <c r="F116">
        <v>68.67</v>
      </c>
      <c r="G116">
        <v>5.76</v>
      </c>
      <c r="H116">
        <v>0</v>
      </c>
      <c r="J116">
        <v>9.25</v>
      </c>
      <c r="K116">
        <v>83.68</v>
      </c>
      <c r="L116">
        <v>30.589788182831654</v>
      </c>
      <c r="M116">
        <v>114.26978818283166</v>
      </c>
      <c r="N116">
        <v>35.420968491034799</v>
      </c>
      <c r="O116">
        <v>1</v>
      </c>
    </row>
    <row r="118" spans="1:15">
      <c r="A118">
        <v>54</v>
      </c>
      <c r="C118">
        <v>3</v>
      </c>
      <c r="D118" t="s">
        <v>127</v>
      </c>
      <c r="E118">
        <v>305</v>
      </c>
      <c r="F118">
        <v>53.47</v>
      </c>
      <c r="G118">
        <v>7.41</v>
      </c>
      <c r="H118">
        <v>0</v>
      </c>
      <c r="J118">
        <v>8.0100000000000051</v>
      </c>
      <c r="K118">
        <v>68.89</v>
      </c>
      <c r="L118">
        <v>24.941289483463407</v>
      </c>
      <c r="M118">
        <v>93.831289483463408</v>
      </c>
      <c r="N118">
        <v>29.08551071215053</v>
      </c>
      <c r="O118">
        <v>0</v>
      </c>
    </row>
    <row r="120" spans="1:15">
      <c r="A120">
        <v>55</v>
      </c>
      <c r="C120">
        <v>3</v>
      </c>
      <c r="D120" t="s">
        <v>127</v>
      </c>
      <c r="E120">
        <v>306</v>
      </c>
      <c r="F120">
        <v>60.34</v>
      </c>
      <c r="G120">
        <v>4.57</v>
      </c>
      <c r="H120">
        <v>0</v>
      </c>
      <c r="J120">
        <v>9.3800000000000097</v>
      </c>
      <c r="K120">
        <v>74.290000000000006</v>
      </c>
      <c r="L120">
        <v>27.437982162764769</v>
      </c>
      <c r="M120">
        <v>101.72798216276477</v>
      </c>
      <c r="N120">
        <v>31.533301217628541</v>
      </c>
      <c r="O120">
        <v>0</v>
      </c>
    </row>
    <row r="122" spans="1:15">
      <c r="A122">
        <v>56</v>
      </c>
      <c r="C122">
        <v>3</v>
      </c>
      <c r="D122" t="s">
        <v>124</v>
      </c>
      <c r="E122">
        <v>307</v>
      </c>
      <c r="F122">
        <v>79.67</v>
      </c>
      <c r="G122">
        <v>5.52</v>
      </c>
      <c r="H122">
        <v>0</v>
      </c>
      <c r="J122">
        <v>8.9200000000000017</v>
      </c>
      <c r="K122">
        <v>94.11</v>
      </c>
      <c r="L122">
        <v>31.40096246748422</v>
      </c>
      <c r="M122">
        <v>125.51096246748422</v>
      </c>
      <c r="N122">
        <v>38.905470269421151</v>
      </c>
      <c r="O122">
        <v>1</v>
      </c>
    </row>
    <row r="124" spans="1:15">
      <c r="A124">
        <v>57</v>
      </c>
      <c r="C124">
        <v>3</v>
      </c>
      <c r="D124" t="s">
        <v>124</v>
      </c>
      <c r="E124">
        <v>308</v>
      </c>
      <c r="F124">
        <v>76.22</v>
      </c>
      <c r="G124">
        <v>7.49</v>
      </c>
      <c r="H124">
        <v>0</v>
      </c>
      <c r="J124">
        <v>9.4300000000000068</v>
      </c>
      <c r="K124">
        <v>93.14</v>
      </c>
      <c r="L124">
        <v>34.507714604236355</v>
      </c>
      <c r="M124">
        <v>127.64771460423636</v>
      </c>
      <c r="N124">
        <v>39.567813582668144</v>
      </c>
      <c r="O124">
        <v>1</v>
      </c>
    </row>
    <row r="126" spans="1:15">
      <c r="A126">
        <v>58</v>
      </c>
      <c r="C126">
        <v>3</v>
      </c>
      <c r="D126" t="s">
        <v>124</v>
      </c>
      <c r="E126">
        <v>309</v>
      </c>
      <c r="F126">
        <v>77.47</v>
      </c>
      <c r="G126">
        <v>5.18</v>
      </c>
      <c r="H126">
        <v>0</v>
      </c>
      <c r="J126">
        <v>8.9799999999999898</v>
      </c>
      <c r="K126">
        <v>91.63</v>
      </c>
      <c r="L126">
        <v>33.602255667038293</v>
      </c>
      <c r="M126">
        <v>125.23225566703829</v>
      </c>
      <c r="N126">
        <v>38.81907766334546</v>
      </c>
      <c r="O126">
        <v>1</v>
      </c>
    </row>
    <row r="128" spans="1:15">
      <c r="A128">
        <v>59</v>
      </c>
      <c r="C128">
        <v>3</v>
      </c>
      <c r="D128" t="s">
        <v>127</v>
      </c>
      <c r="E128">
        <v>310</v>
      </c>
      <c r="F128">
        <v>55.13</v>
      </c>
      <c r="G128">
        <v>7.08</v>
      </c>
      <c r="H128">
        <v>0</v>
      </c>
      <c r="J128">
        <v>5.970000000000006</v>
      </c>
      <c r="K128">
        <v>68.180000000000007</v>
      </c>
      <c r="L128">
        <v>24.164853214418429</v>
      </c>
      <c r="M128">
        <v>92.344853214418436</v>
      </c>
      <c r="N128">
        <v>28.62475014641349</v>
      </c>
      <c r="O128">
        <v>0</v>
      </c>
    </row>
    <row r="130" spans="1:15">
      <c r="A130">
        <v>60</v>
      </c>
      <c r="C130">
        <v>3</v>
      </c>
      <c r="D130" t="s">
        <v>128</v>
      </c>
      <c r="E130">
        <v>311</v>
      </c>
      <c r="F130">
        <v>28.45</v>
      </c>
      <c r="G130">
        <v>0</v>
      </c>
      <c r="H130">
        <v>0</v>
      </c>
      <c r="J130">
        <v>4.5999999999999979</v>
      </c>
      <c r="K130">
        <v>33.049999999999997</v>
      </c>
      <c r="L130">
        <v>12.286306205871426</v>
      </c>
      <c r="M130">
        <v>45.336306205871423</v>
      </c>
      <c r="N130">
        <v>14.05319725497966</v>
      </c>
      <c r="O130">
        <v>0</v>
      </c>
    </row>
    <row r="132" spans="1:15">
      <c r="A132">
        <v>61</v>
      </c>
      <c r="C132">
        <v>3</v>
      </c>
      <c r="D132" t="s">
        <v>127</v>
      </c>
      <c r="E132">
        <v>312</v>
      </c>
      <c r="F132">
        <v>55.13</v>
      </c>
      <c r="G132">
        <v>7.08</v>
      </c>
      <c r="H132">
        <v>0</v>
      </c>
      <c r="J132">
        <v>7.6999999999999957</v>
      </c>
      <c r="K132">
        <v>69.91</v>
      </c>
      <c r="L132">
        <v>25.872237086584917</v>
      </c>
      <c r="M132">
        <v>95.782237086584914</v>
      </c>
      <c r="N132">
        <v>29.690258954680388</v>
      </c>
      <c r="O132">
        <v>0</v>
      </c>
    </row>
    <row r="134" spans="1:15">
      <c r="A134">
        <v>62</v>
      </c>
      <c r="C134">
        <v>3</v>
      </c>
      <c r="D134" t="s">
        <v>127</v>
      </c>
      <c r="E134">
        <v>313</v>
      </c>
      <c r="F134">
        <v>54.8</v>
      </c>
      <c r="G134">
        <v>3.87</v>
      </c>
      <c r="H134">
        <v>3.88</v>
      </c>
      <c r="J134">
        <v>7.210000000000008</v>
      </c>
      <c r="K134">
        <v>69.760000000000005</v>
      </c>
      <c r="L134">
        <v>26.672552954292087</v>
      </c>
      <c r="M134">
        <v>96.432552954292092</v>
      </c>
      <c r="N134">
        <v>29.891841702190344</v>
      </c>
      <c r="O134">
        <v>0</v>
      </c>
    </row>
    <row r="136" spans="1:15">
      <c r="A136">
        <v>63</v>
      </c>
      <c r="C136">
        <v>3</v>
      </c>
      <c r="D136" t="s">
        <v>127</v>
      </c>
      <c r="E136">
        <v>314</v>
      </c>
      <c r="F136">
        <v>57.98</v>
      </c>
      <c r="G136">
        <v>8.83</v>
      </c>
      <c r="H136">
        <v>0</v>
      </c>
      <c r="J136">
        <v>7.3900000000000006</v>
      </c>
      <c r="K136">
        <v>74.2</v>
      </c>
      <c r="L136">
        <v>27.806688963210703</v>
      </c>
      <c r="M136">
        <v>102.00668896321071</v>
      </c>
      <c r="N136">
        <v>31.619693823704235</v>
      </c>
      <c r="O136">
        <v>0</v>
      </c>
    </row>
    <row r="138" spans="1:15">
      <c r="A138">
        <v>64</v>
      </c>
      <c r="C138">
        <v>3</v>
      </c>
      <c r="D138" t="s">
        <v>127</v>
      </c>
      <c r="E138">
        <v>315</v>
      </c>
      <c r="F138">
        <v>58.39</v>
      </c>
      <c r="G138">
        <v>3.46</v>
      </c>
      <c r="H138">
        <v>0</v>
      </c>
      <c r="J138">
        <v>7.3399999999999963</v>
      </c>
      <c r="K138">
        <v>69.19</v>
      </c>
      <c r="L138">
        <v>25.570312151616506</v>
      </c>
      <c r="M138">
        <v>94.760312151616503</v>
      </c>
      <c r="N138">
        <v>29.373486065736174</v>
      </c>
      <c r="O138">
        <v>0</v>
      </c>
    </row>
    <row r="140" spans="1:15">
      <c r="A140">
        <v>65</v>
      </c>
      <c r="C140">
        <v>3</v>
      </c>
      <c r="D140" t="s">
        <v>127</v>
      </c>
      <c r="E140">
        <v>316</v>
      </c>
      <c r="F140">
        <v>53.31</v>
      </c>
      <c r="G140">
        <v>4.78</v>
      </c>
      <c r="H140">
        <v>0</v>
      </c>
      <c r="J140">
        <v>7.1899999999999977</v>
      </c>
      <c r="K140">
        <v>65.28</v>
      </c>
      <c r="L140">
        <v>24.091980676328504</v>
      </c>
      <c r="M140">
        <v>89.371980676328505</v>
      </c>
      <c r="N140">
        <v>27.703229014939414</v>
      </c>
      <c r="O140">
        <v>0</v>
      </c>
    </row>
    <row r="142" spans="1:15">
      <c r="A142">
        <v>66</v>
      </c>
      <c r="C142">
        <v>3</v>
      </c>
      <c r="D142" t="s">
        <v>124</v>
      </c>
      <c r="E142">
        <v>317</v>
      </c>
      <c r="F142">
        <v>75.86</v>
      </c>
      <c r="G142">
        <v>5.52</v>
      </c>
      <c r="H142">
        <v>3.32</v>
      </c>
      <c r="J142">
        <v>7.4800000000000182</v>
      </c>
      <c r="K142">
        <v>92.18</v>
      </c>
      <c r="L142">
        <v>33.981278335191377</v>
      </c>
      <c r="M142">
        <v>126.16127833519138</v>
      </c>
      <c r="N142">
        <v>39.107053016931104</v>
      </c>
      <c r="O142">
        <v>1</v>
      </c>
    </row>
    <row r="144" spans="1:15">
      <c r="A144">
        <v>67</v>
      </c>
      <c r="C144">
        <v>3</v>
      </c>
      <c r="D144" t="s">
        <v>124</v>
      </c>
      <c r="E144">
        <v>318</v>
      </c>
      <c r="F144">
        <v>74.41</v>
      </c>
      <c r="G144">
        <v>5.71</v>
      </c>
      <c r="H144">
        <v>0</v>
      </c>
      <c r="J144">
        <v>6.6700000000000159</v>
      </c>
      <c r="K144">
        <v>86.79</v>
      </c>
      <c r="L144">
        <v>32.217803790412489</v>
      </c>
      <c r="M144">
        <v>119.0078037904125</v>
      </c>
      <c r="N144">
        <v>36.88964279432161</v>
      </c>
      <c r="O144">
        <v>1</v>
      </c>
    </row>
    <row r="146" spans="1:15">
      <c r="B146" t="s">
        <v>129</v>
      </c>
    </row>
    <row r="147" spans="1:15">
      <c r="A147">
        <v>68</v>
      </c>
      <c r="C147">
        <v>4</v>
      </c>
      <c r="D147" t="s">
        <v>127</v>
      </c>
      <c r="E147">
        <v>401</v>
      </c>
      <c r="F147">
        <v>40.49</v>
      </c>
      <c r="G147">
        <v>0</v>
      </c>
      <c r="H147">
        <v>0</v>
      </c>
      <c r="J147">
        <v>4.8299999999999983</v>
      </c>
      <c r="K147">
        <v>45.32</v>
      </c>
      <c r="L147">
        <v>16.738714232627281</v>
      </c>
      <c r="M147">
        <v>62.058714232627281</v>
      </c>
      <c r="N147">
        <v>19.236753619521338</v>
      </c>
      <c r="O147">
        <v>0</v>
      </c>
    </row>
    <row r="149" spans="1:15">
      <c r="A149">
        <v>69</v>
      </c>
      <c r="C149">
        <v>4</v>
      </c>
      <c r="D149" t="s">
        <v>127</v>
      </c>
      <c r="E149">
        <v>402</v>
      </c>
      <c r="F149">
        <v>38.92</v>
      </c>
      <c r="G149">
        <v>0</v>
      </c>
      <c r="H149">
        <v>1.52</v>
      </c>
      <c r="J149">
        <v>5.7099999999999937</v>
      </c>
      <c r="K149">
        <v>46.15</v>
      </c>
      <c r="L149">
        <v>17.116443701226316</v>
      </c>
      <c r="M149">
        <v>63.266443701226315</v>
      </c>
      <c r="N149">
        <v>19.611121579182683</v>
      </c>
      <c r="O149">
        <v>0</v>
      </c>
    </row>
    <row r="151" spans="1:15">
      <c r="A151">
        <v>70</v>
      </c>
      <c r="C151">
        <v>4</v>
      </c>
      <c r="D151" t="s">
        <v>127</v>
      </c>
      <c r="E151">
        <v>403</v>
      </c>
      <c r="F151">
        <v>41.72</v>
      </c>
      <c r="G151">
        <v>2.19</v>
      </c>
      <c r="H151">
        <v>0</v>
      </c>
      <c r="J151">
        <v>8.0600000000000023</v>
      </c>
      <c r="K151">
        <v>51.97</v>
      </c>
      <c r="L151">
        <v>18.078309178743964</v>
      </c>
      <c r="M151">
        <v>70.048309178743963</v>
      </c>
      <c r="N151">
        <v>21.713341660357916</v>
      </c>
      <c r="O151">
        <v>0</v>
      </c>
    </row>
    <row r="153" spans="1:15">
      <c r="A153">
        <v>71</v>
      </c>
      <c r="C153">
        <v>4</v>
      </c>
      <c r="D153" t="s">
        <v>127</v>
      </c>
      <c r="E153">
        <v>404</v>
      </c>
      <c r="F153">
        <v>38.36</v>
      </c>
      <c r="G153">
        <v>0</v>
      </c>
      <c r="H153">
        <v>3.17</v>
      </c>
      <c r="J153">
        <v>1.5899999999999963</v>
      </c>
      <c r="K153">
        <v>43.12</v>
      </c>
      <c r="L153">
        <v>16.801962095875147</v>
      </c>
      <c r="M153">
        <v>59.921962095875145</v>
      </c>
      <c r="N153">
        <v>18.574410306274348</v>
      </c>
      <c r="O153">
        <v>0</v>
      </c>
    </row>
    <row r="155" spans="1:15">
      <c r="A155">
        <v>72</v>
      </c>
      <c r="C155">
        <v>4</v>
      </c>
      <c r="D155" t="s">
        <v>127</v>
      </c>
      <c r="E155">
        <v>405</v>
      </c>
      <c r="F155">
        <v>41.4</v>
      </c>
      <c r="G155">
        <v>0</v>
      </c>
      <c r="H155">
        <v>2.3199999999999998</v>
      </c>
      <c r="J155">
        <v>4.8500000000000014</v>
      </c>
      <c r="K155">
        <v>48.57</v>
      </c>
      <c r="L155">
        <v>17.855120772946869</v>
      </c>
      <c r="M155">
        <v>66.425120772946869</v>
      </c>
      <c r="N155">
        <v>20.59023778137389</v>
      </c>
      <c r="O155">
        <v>0</v>
      </c>
    </row>
    <row r="157" spans="1:15">
      <c r="B157" t="s">
        <v>130</v>
      </c>
    </row>
    <row r="158" spans="1:15">
      <c r="A158">
        <v>73</v>
      </c>
      <c r="C158">
        <v>4</v>
      </c>
      <c r="D158" t="s">
        <v>127</v>
      </c>
      <c r="E158">
        <v>401</v>
      </c>
      <c r="F158">
        <v>57.56</v>
      </c>
      <c r="G158">
        <v>0</v>
      </c>
      <c r="H158">
        <v>0</v>
      </c>
      <c r="J158">
        <v>6.1699999999999946</v>
      </c>
      <c r="K158">
        <v>63.73</v>
      </c>
      <c r="L158">
        <v>24.062642140468235</v>
      </c>
      <c r="M158">
        <v>87.792642140468232</v>
      </c>
      <c r="N158">
        <v>27.21367091384381</v>
      </c>
      <c r="O158">
        <v>0</v>
      </c>
    </row>
    <row r="160" spans="1:15">
      <c r="A160">
        <v>74</v>
      </c>
      <c r="C160">
        <v>4</v>
      </c>
      <c r="D160" t="s">
        <v>127</v>
      </c>
      <c r="E160">
        <v>402</v>
      </c>
      <c r="F160">
        <v>54.43</v>
      </c>
      <c r="G160">
        <v>5.95</v>
      </c>
      <c r="H160">
        <v>0</v>
      </c>
      <c r="J160">
        <v>8.2100000000000009</v>
      </c>
      <c r="K160">
        <v>68.59</v>
      </c>
      <c r="L160">
        <v>25.427094017094021</v>
      </c>
      <c r="M160">
        <v>94.017094017094024</v>
      </c>
      <c r="N160">
        <v>29.143105782867657</v>
      </c>
      <c r="O160">
        <v>0</v>
      </c>
    </row>
    <row r="162" spans="1:15">
      <c r="A162">
        <v>75</v>
      </c>
      <c r="C162">
        <v>4</v>
      </c>
      <c r="D162" t="s">
        <v>127</v>
      </c>
      <c r="E162">
        <v>403</v>
      </c>
      <c r="F162">
        <v>43.53</v>
      </c>
      <c r="G162">
        <v>3.56</v>
      </c>
      <c r="H162">
        <v>0</v>
      </c>
      <c r="J162">
        <v>6.0499999999999972</v>
      </c>
      <c r="K162">
        <v>53.14</v>
      </c>
      <c r="L162">
        <v>19.788279450018578</v>
      </c>
      <c r="M162">
        <v>72.928279450018579</v>
      </c>
      <c r="N162">
        <v>22.606065256473428</v>
      </c>
      <c r="O162">
        <v>0</v>
      </c>
    </row>
    <row r="164" spans="1:15">
      <c r="A164">
        <v>76</v>
      </c>
      <c r="C164">
        <v>4</v>
      </c>
      <c r="D164" t="s">
        <v>124</v>
      </c>
      <c r="E164">
        <v>404</v>
      </c>
      <c r="F164">
        <v>68.67</v>
      </c>
      <c r="G164">
        <v>5.76</v>
      </c>
      <c r="H164">
        <v>0</v>
      </c>
      <c r="J164">
        <v>9.25</v>
      </c>
      <c r="K164">
        <v>83.68</v>
      </c>
      <c r="L164">
        <v>30.589788182831654</v>
      </c>
      <c r="M164">
        <v>114.26978818283166</v>
      </c>
      <c r="N164">
        <v>35.420968491034799</v>
      </c>
      <c r="O164">
        <v>1</v>
      </c>
    </row>
    <row r="166" spans="1:15">
      <c r="A166">
        <v>77</v>
      </c>
      <c r="C166">
        <v>4</v>
      </c>
      <c r="D166" t="s">
        <v>127</v>
      </c>
      <c r="E166">
        <v>405</v>
      </c>
      <c r="F166">
        <v>53.47</v>
      </c>
      <c r="G166">
        <v>7.41</v>
      </c>
      <c r="H166">
        <v>0</v>
      </c>
      <c r="J166">
        <v>8.0100000000000051</v>
      </c>
      <c r="K166">
        <v>68.89</v>
      </c>
      <c r="L166">
        <v>24.941289483463407</v>
      </c>
      <c r="M166">
        <v>93.831289483463408</v>
      </c>
      <c r="N166">
        <v>29.08551071215053</v>
      </c>
      <c r="O166">
        <v>0</v>
      </c>
    </row>
    <row r="168" spans="1:15">
      <c r="A168">
        <v>78</v>
      </c>
      <c r="C168">
        <v>4</v>
      </c>
      <c r="D168" t="s">
        <v>127</v>
      </c>
      <c r="E168">
        <v>406</v>
      </c>
      <c r="F168">
        <v>60.34</v>
      </c>
      <c r="G168">
        <v>4.57</v>
      </c>
      <c r="H168">
        <v>0</v>
      </c>
      <c r="J168">
        <v>9.3800000000000097</v>
      </c>
      <c r="K168">
        <v>74.290000000000006</v>
      </c>
      <c r="L168">
        <v>27.437982162764769</v>
      </c>
      <c r="M168">
        <v>101.72798216276477</v>
      </c>
      <c r="N168">
        <v>31.533301217628541</v>
      </c>
      <c r="O168">
        <v>0</v>
      </c>
    </row>
    <row r="170" spans="1:15">
      <c r="A170">
        <v>79</v>
      </c>
      <c r="C170">
        <v>4</v>
      </c>
      <c r="D170" t="s">
        <v>124</v>
      </c>
      <c r="E170">
        <v>407</v>
      </c>
      <c r="F170">
        <v>79.67</v>
      </c>
      <c r="G170">
        <v>5.52</v>
      </c>
      <c r="H170">
        <v>0</v>
      </c>
      <c r="J170">
        <v>8.9200000000000017</v>
      </c>
      <c r="K170">
        <v>94.11</v>
      </c>
      <c r="L170">
        <v>31.40096246748422</v>
      </c>
      <c r="M170">
        <v>125.51096246748422</v>
      </c>
      <c r="N170">
        <v>38.905470269421151</v>
      </c>
      <c r="O170">
        <v>1</v>
      </c>
    </row>
    <row r="172" spans="1:15">
      <c r="A172">
        <v>80</v>
      </c>
      <c r="C172">
        <v>4</v>
      </c>
      <c r="D172" t="s">
        <v>124</v>
      </c>
      <c r="E172">
        <v>408</v>
      </c>
      <c r="F172">
        <v>76.22</v>
      </c>
      <c r="G172">
        <v>7.49</v>
      </c>
      <c r="H172">
        <v>0</v>
      </c>
      <c r="J172">
        <v>9.4300000000000068</v>
      </c>
      <c r="K172">
        <v>93.14</v>
      </c>
      <c r="L172">
        <v>34.507714604236355</v>
      </c>
      <c r="M172">
        <v>127.64771460423636</v>
      </c>
      <c r="N172">
        <v>39.567813582668144</v>
      </c>
      <c r="O172">
        <v>1</v>
      </c>
    </row>
    <row r="174" spans="1:15">
      <c r="A174">
        <v>81</v>
      </c>
      <c r="C174">
        <v>4</v>
      </c>
      <c r="D174" t="s">
        <v>124</v>
      </c>
      <c r="E174">
        <v>409</v>
      </c>
      <c r="F174">
        <v>77.47</v>
      </c>
      <c r="G174">
        <v>5.18</v>
      </c>
      <c r="H174">
        <v>0</v>
      </c>
      <c r="J174">
        <v>8.9799999999999898</v>
      </c>
      <c r="K174">
        <v>91.63</v>
      </c>
      <c r="L174">
        <v>33.602255667038293</v>
      </c>
      <c r="M174">
        <v>125.23225566703829</v>
      </c>
      <c r="N174">
        <v>38.81907766334546</v>
      </c>
      <c r="O174">
        <v>1</v>
      </c>
    </row>
    <row r="176" spans="1:15">
      <c r="A176">
        <v>82</v>
      </c>
      <c r="C176">
        <v>4</v>
      </c>
      <c r="D176" t="s">
        <v>127</v>
      </c>
      <c r="E176">
        <v>410</v>
      </c>
      <c r="F176">
        <v>55.13</v>
      </c>
      <c r="G176">
        <v>7.08</v>
      </c>
      <c r="H176">
        <v>0</v>
      </c>
      <c r="J176">
        <v>5.970000000000006</v>
      </c>
      <c r="K176">
        <v>68.180000000000007</v>
      </c>
      <c r="L176">
        <v>24.164853214418429</v>
      </c>
      <c r="M176">
        <v>92.344853214418436</v>
      </c>
      <c r="N176">
        <v>28.62475014641349</v>
      </c>
      <c r="O176">
        <v>0</v>
      </c>
    </row>
    <row r="178" spans="1:15">
      <c r="A178">
        <v>83</v>
      </c>
      <c r="C178">
        <v>4</v>
      </c>
      <c r="D178" t="s">
        <v>128</v>
      </c>
      <c r="E178">
        <v>411</v>
      </c>
      <c r="F178">
        <v>28.45</v>
      </c>
      <c r="G178">
        <v>0</v>
      </c>
      <c r="H178">
        <v>0</v>
      </c>
      <c r="J178">
        <v>4.5999999999999979</v>
      </c>
      <c r="K178">
        <v>33.049999999999997</v>
      </c>
      <c r="L178">
        <v>12.286306205871426</v>
      </c>
      <c r="M178">
        <v>45.336306205871423</v>
      </c>
      <c r="N178">
        <v>14.05319725497966</v>
      </c>
      <c r="O178">
        <v>0</v>
      </c>
    </row>
    <row r="180" spans="1:15">
      <c r="A180">
        <v>84</v>
      </c>
      <c r="C180">
        <v>4</v>
      </c>
      <c r="D180" t="s">
        <v>127</v>
      </c>
      <c r="E180">
        <v>412</v>
      </c>
      <c r="F180">
        <v>55.13</v>
      </c>
      <c r="G180">
        <v>7.08</v>
      </c>
      <c r="H180">
        <v>0</v>
      </c>
      <c r="J180">
        <v>7.6999999999999957</v>
      </c>
      <c r="K180">
        <v>69.91</v>
      </c>
      <c r="L180">
        <v>25.872237086584917</v>
      </c>
      <c r="M180">
        <v>95.782237086584914</v>
      </c>
      <c r="N180">
        <v>29.690258954680388</v>
      </c>
      <c r="O180">
        <v>0</v>
      </c>
    </row>
    <row r="182" spans="1:15">
      <c r="A182">
        <v>85</v>
      </c>
      <c r="C182">
        <v>4</v>
      </c>
      <c r="D182" t="s">
        <v>127</v>
      </c>
      <c r="E182">
        <v>413</v>
      </c>
      <c r="F182">
        <v>54.8</v>
      </c>
      <c r="G182">
        <v>3.87</v>
      </c>
      <c r="H182">
        <v>3.88</v>
      </c>
      <c r="J182">
        <v>7.210000000000008</v>
      </c>
      <c r="K182">
        <v>69.760000000000005</v>
      </c>
      <c r="L182">
        <v>26.672552954292087</v>
      </c>
      <c r="M182">
        <v>96.432552954292092</v>
      </c>
      <c r="N182">
        <v>29.891841702190344</v>
      </c>
      <c r="O182">
        <v>0</v>
      </c>
    </row>
    <row r="184" spans="1:15">
      <c r="A184">
        <v>86</v>
      </c>
      <c r="C184">
        <v>4</v>
      </c>
      <c r="D184" t="s">
        <v>127</v>
      </c>
      <c r="E184">
        <v>414</v>
      </c>
      <c r="F184">
        <v>57.98</v>
      </c>
      <c r="G184">
        <v>8.83</v>
      </c>
      <c r="H184">
        <v>0</v>
      </c>
      <c r="J184">
        <v>7.3900000000000006</v>
      </c>
      <c r="K184">
        <v>74.2</v>
      </c>
      <c r="L184">
        <v>27.806688963210703</v>
      </c>
      <c r="M184">
        <v>102.00668896321071</v>
      </c>
      <c r="N184">
        <v>31.619693823704235</v>
      </c>
      <c r="O184">
        <v>0</v>
      </c>
    </row>
    <row r="186" spans="1:15">
      <c r="A186">
        <v>87</v>
      </c>
      <c r="C186">
        <v>4</v>
      </c>
      <c r="D186" t="s">
        <v>127</v>
      </c>
      <c r="E186">
        <v>415</v>
      </c>
      <c r="F186">
        <v>58.39</v>
      </c>
      <c r="G186">
        <v>3.46</v>
      </c>
      <c r="H186">
        <v>0</v>
      </c>
      <c r="J186">
        <v>7.3399999999999963</v>
      </c>
      <c r="K186">
        <v>69.19</v>
      </c>
      <c r="L186">
        <v>25.570312151616506</v>
      </c>
      <c r="M186">
        <v>94.760312151616503</v>
      </c>
      <c r="N186">
        <v>29.373486065736174</v>
      </c>
      <c r="O186">
        <v>0</v>
      </c>
    </row>
    <row r="188" spans="1:15">
      <c r="A188">
        <v>88</v>
      </c>
      <c r="C188">
        <v>4</v>
      </c>
      <c r="D188" t="s">
        <v>127</v>
      </c>
      <c r="E188">
        <v>416</v>
      </c>
      <c r="F188">
        <v>53.31</v>
      </c>
      <c r="G188">
        <v>4.78</v>
      </c>
      <c r="H188">
        <v>0</v>
      </c>
      <c r="J188">
        <v>7.1899999999999977</v>
      </c>
      <c r="K188">
        <v>65.28</v>
      </c>
      <c r="L188">
        <v>24.091980676328504</v>
      </c>
      <c r="M188">
        <v>89.371980676328505</v>
      </c>
      <c r="N188">
        <v>27.703229014939414</v>
      </c>
      <c r="O188">
        <v>0</v>
      </c>
    </row>
    <row r="190" spans="1:15">
      <c r="A190">
        <v>89</v>
      </c>
      <c r="C190">
        <v>4</v>
      </c>
      <c r="D190" t="s">
        <v>124</v>
      </c>
      <c r="E190">
        <v>417</v>
      </c>
      <c r="F190">
        <v>75.86</v>
      </c>
      <c r="G190">
        <v>5.52</v>
      </c>
      <c r="H190">
        <v>3.32</v>
      </c>
      <c r="J190">
        <v>7.4800000000000182</v>
      </c>
      <c r="K190">
        <v>92.18</v>
      </c>
      <c r="L190">
        <v>33.981278335191377</v>
      </c>
      <c r="M190">
        <v>126.16127833519138</v>
      </c>
      <c r="N190">
        <v>39.107053016931104</v>
      </c>
      <c r="O190">
        <v>1</v>
      </c>
    </row>
    <row r="192" spans="1:15">
      <c r="A192">
        <v>90</v>
      </c>
      <c r="C192">
        <v>4</v>
      </c>
      <c r="D192" t="s">
        <v>124</v>
      </c>
      <c r="E192">
        <v>418</v>
      </c>
      <c r="F192">
        <v>74.41</v>
      </c>
      <c r="G192">
        <v>5.71</v>
      </c>
      <c r="H192">
        <v>0</v>
      </c>
      <c r="J192">
        <v>6.6700000000000159</v>
      </c>
      <c r="K192">
        <v>86.79</v>
      </c>
      <c r="L192">
        <v>32.217803790412489</v>
      </c>
      <c r="M192">
        <v>119.0078037904125</v>
      </c>
      <c r="N192">
        <v>36.88964279432161</v>
      </c>
      <c r="O192">
        <v>1</v>
      </c>
    </row>
    <row r="194" spans="1:15">
      <c r="B194" t="s">
        <v>129</v>
      </c>
    </row>
    <row r="195" spans="1:15">
      <c r="A195">
        <v>91</v>
      </c>
      <c r="C195">
        <v>5</v>
      </c>
      <c r="D195" t="s">
        <v>127</v>
      </c>
      <c r="E195">
        <v>501</v>
      </c>
      <c r="F195">
        <v>40.49</v>
      </c>
      <c r="G195">
        <v>0</v>
      </c>
      <c r="H195">
        <v>0</v>
      </c>
      <c r="J195">
        <v>4.8299999999999983</v>
      </c>
      <c r="K195">
        <v>45.32</v>
      </c>
      <c r="L195">
        <v>16.738714232627281</v>
      </c>
      <c r="M195">
        <v>62.058714232627281</v>
      </c>
      <c r="N195">
        <v>19.236753619521338</v>
      </c>
      <c r="O195">
        <v>0</v>
      </c>
    </row>
    <row r="197" spans="1:15">
      <c r="A197">
        <v>92</v>
      </c>
      <c r="C197">
        <v>5</v>
      </c>
      <c r="D197" t="s">
        <v>127</v>
      </c>
      <c r="E197">
        <v>502</v>
      </c>
      <c r="F197">
        <v>38.92</v>
      </c>
      <c r="G197">
        <v>0</v>
      </c>
      <c r="H197">
        <v>1.52</v>
      </c>
      <c r="J197">
        <v>5.7099999999999937</v>
      </c>
      <c r="K197">
        <v>46.15</v>
      </c>
      <c r="L197">
        <v>17.116443701226316</v>
      </c>
      <c r="M197">
        <v>63.266443701226315</v>
      </c>
      <c r="N197">
        <v>19.611121579182683</v>
      </c>
      <c r="O197">
        <v>0</v>
      </c>
    </row>
    <row r="199" spans="1:15">
      <c r="A199">
        <v>93</v>
      </c>
      <c r="C199">
        <v>5</v>
      </c>
      <c r="D199" t="s">
        <v>127</v>
      </c>
      <c r="E199">
        <v>503</v>
      </c>
      <c r="F199">
        <v>41.72</v>
      </c>
      <c r="G199">
        <v>2.19</v>
      </c>
      <c r="H199">
        <v>0</v>
      </c>
      <c r="J199">
        <v>8.0600000000000023</v>
      </c>
      <c r="K199">
        <v>51.97</v>
      </c>
      <c r="L199">
        <v>18.078309178743964</v>
      </c>
      <c r="M199">
        <v>70.048309178743963</v>
      </c>
      <c r="N199">
        <v>21.713341660357916</v>
      </c>
      <c r="O199">
        <v>0</v>
      </c>
    </row>
    <row r="201" spans="1:15">
      <c r="A201">
        <v>94</v>
      </c>
      <c r="C201">
        <v>5</v>
      </c>
      <c r="D201" t="s">
        <v>127</v>
      </c>
      <c r="E201">
        <v>504</v>
      </c>
      <c r="F201">
        <v>38.36</v>
      </c>
      <c r="G201">
        <v>0</v>
      </c>
      <c r="H201">
        <v>0</v>
      </c>
      <c r="J201">
        <v>4.759999999999998</v>
      </c>
      <c r="K201">
        <v>43.12</v>
      </c>
      <c r="L201">
        <v>16.801962095875147</v>
      </c>
      <c r="M201">
        <v>59.921962095875145</v>
      </c>
      <c r="N201">
        <v>18.574410306274348</v>
      </c>
      <c r="O201">
        <v>0</v>
      </c>
    </row>
    <row r="203" spans="1:15">
      <c r="A203">
        <v>95</v>
      </c>
      <c r="C203">
        <v>5</v>
      </c>
      <c r="D203" t="s">
        <v>127</v>
      </c>
      <c r="E203">
        <v>505</v>
      </c>
      <c r="F203">
        <v>41.4</v>
      </c>
      <c r="G203">
        <v>0</v>
      </c>
      <c r="H203">
        <v>2.3199999999999998</v>
      </c>
      <c r="J203">
        <v>4.8500000000000014</v>
      </c>
      <c r="K203">
        <v>48.57</v>
      </c>
      <c r="L203">
        <v>17.855120772946869</v>
      </c>
      <c r="M203">
        <v>66.425120772946869</v>
      </c>
      <c r="N203">
        <v>20.59023778137389</v>
      </c>
      <c r="O203">
        <v>0</v>
      </c>
    </row>
    <row r="205" spans="1:15">
      <c r="B205" t="s">
        <v>130</v>
      </c>
    </row>
    <row r="206" spans="1:15">
      <c r="A206">
        <v>96</v>
      </c>
      <c r="C206">
        <v>5</v>
      </c>
      <c r="D206" t="s">
        <v>127</v>
      </c>
      <c r="E206">
        <v>501</v>
      </c>
      <c r="F206">
        <v>57.56</v>
      </c>
      <c r="G206">
        <v>0</v>
      </c>
      <c r="H206">
        <v>0</v>
      </c>
      <c r="J206">
        <v>6.1699999999999946</v>
      </c>
      <c r="K206">
        <v>63.73</v>
      </c>
      <c r="L206">
        <v>24.062642140468235</v>
      </c>
      <c r="M206">
        <v>87.792642140468232</v>
      </c>
      <c r="N206">
        <v>27.21367091384381</v>
      </c>
      <c r="O206">
        <v>0</v>
      </c>
    </row>
    <row r="208" spans="1:15">
      <c r="A208">
        <v>97</v>
      </c>
      <c r="C208">
        <v>5</v>
      </c>
      <c r="D208" t="s">
        <v>127</v>
      </c>
      <c r="E208">
        <v>502</v>
      </c>
      <c r="F208">
        <v>54.43</v>
      </c>
      <c r="G208">
        <v>5.95</v>
      </c>
      <c r="H208">
        <v>0</v>
      </c>
      <c r="J208">
        <v>8.2100000000000009</v>
      </c>
      <c r="K208">
        <v>68.59</v>
      </c>
      <c r="L208">
        <v>25.427094017094021</v>
      </c>
      <c r="M208">
        <v>94.017094017094024</v>
      </c>
      <c r="N208">
        <v>29.143105782867657</v>
      </c>
      <c r="O208">
        <v>0</v>
      </c>
    </row>
    <row r="210" spans="1:15">
      <c r="A210">
        <v>98</v>
      </c>
      <c r="C210">
        <v>5</v>
      </c>
      <c r="D210" t="s">
        <v>127</v>
      </c>
      <c r="E210">
        <v>503</v>
      </c>
      <c r="F210">
        <v>43.53</v>
      </c>
      <c r="G210">
        <v>3.56</v>
      </c>
      <c r="H210">
        <v>0</v>
      </c>
      <c r="J210">
        <v>6.0499999999999972</v>
      </c>
      <c r="K210">
        <v>53.14</v>
      </c>
      <c r="L210">
        <v>19.788279450018578</v>
      </c>
      <c r="M210">
        <v>72.928279450018579</v>
      </c>
      <c r="N210">
        <v>22.606065256473428</v>
      </c>
      <c r="O210">
        <v>0</v>
      </c>
    </row>
    <row r="212" spans="1:15">
      <c r="A212">
        <v>99</v>
      </c>
      <c r="C212">
        <v>5</v>
      </c>
      <c r="D212" t="s">
        <v>124</v>
      </c>
      <c r="E212">
        <v>504</v>
      </c>
      <c r="F212">
        <v>68.67</v>
      </c>
      <c r="G212">
        <v>5.76</v>
      </c>
      <c r="H212">
        <v>0</v>
      </c>
      <c r="J212">
        <v>9.25</v>
      </c>
      <c r="K212">
        <v>83.68</v>
      </c>
      <c r="L212">
        <v>30.589788182831654</v>
      </c>
      <c r="M212">
        <v>114.26978818283166</v>
      </c>
      <c r="N212">
        <v>35.420968491034799</v>
      </c>
      <c r="O212">
        <v>1</v>
      </c>
    </row>
    <row r="214" spans="1:15">
      <c r="A214">
        <v>100</v>
      </c>
      <c r="C214">
        <v>5</v>
      </c>
      <c r="D214" t="s">
        <v>127</v>
      </c>
      <c r="E214">
        <v>505</v>
      </c>
      <c r="F214">
        <v>53.47</v>
      </c>
      <c r="G214">
        <v>7.41</v>
      </c>
      <c r="H214">
        <v>0</v>
      </c>
      <c r="J214">
        <v>8.0100000000000051</v>
      </c>
      <c r="K214">
        <v>68.89</v>
      </c>
      <c r="L214">
        <v>24.941289483463407</v>
      </c>
      <c r="M214">
        <v>93.831289483463408</v>
      </c>
      <c r="N214">
        <v>29.08551071215053</v>
      </c>
      <c r="O214">
        <v>0</v>
      </c>
    </row>
    <row r="216" spans="1:15">
      <c r="A216">
        <v>101</v>
      </c>
      <c r="C216">
        <v>5</v>
      </c>
      <c r="D216" t="s">
        <v>127</v>
      </c>
      <c r="E216">
        <v>506</v>
      </c>
      <c r="F216">
        <v>60.34</v>
      </c>
      <c r="G216">
        <v>4.57</v>
      </c>
      <c r="H216">
        <v>0</v>
      </c>
      <c r="J216">
        <v>9.3800000000000097</v>
      </c>
      <c r="K216">
        <v>74.290000000000006</v>
      </c>
      <c r="L216">
        <v>27.437982162764769</v>
      </c>
      <c r="M216">
        <v>101.72798216276477</v>
      </c>
      <c r="N216">
        <v>31.533301217628541</v>
      </c>
      <c r="O216">
        <v>0</v>
      </c>
    </row>
    <row r="218" spans="1:15">
      <c r="A218">
        <v>102</v>
      </c>
      <c r="C218">
        <v>5</v>
      </c>
      <c r="D218" t="s">
        <v>124</v>
      </c>
      <c r="E218">
        <v>507</v>
      </c>
      <c r="F218">
        <v>79.67</v>
      </c>
      <c r="G218">
        <v>5.52</v>
      </c>
      <c r="H218">
        <v>0</v>
      </c>
      <c r="J218">
        <v>8.9200000000000017</v>
      </c>
      <c r="K218">
        <v>94.11</v>
      </c>
      <c r="L218">
        <v>31.40096246748422</v>
      </c>
      <c r="M218">
        <v>125.51096246748422</v>
      </c>
      <c r="N218">
        <v>38.905470269421151</v>
      </c>
      <c r="O218">
        <v>1</v>
      </c>
    </row>
    <row r="220" spans="1:15">
      <c r="A220">
        <v>103</v>
      </c>
      <c r="C220">
        <v>5</v>
      </c>
      <c r="D220" t="s">
        <v>124</v>
      </c>
      <c r="E220">
        <v>508</v>
      </c>
      <c r="F220">
        <v>76.22</v>
      </c>
      <c r="G220">
        <v>7.49</v>
      </c>
      <c r="H220">
        <v>0</v>
      </c>
      <c r="J220">
        <v>9.4300000000000068</v>
      </c>
      <c r="K220">
        <v>93.14</v>
      </c>
      <c r="L220">
        <v>34.507714604236355</v>
      </c>
      <c r="M220">
        <v>127.64771460423636</v>
      </c>
      <c r="N220">
        <v>39.567813582668144</v>
      </c>
      <c r="O220">
        <v>1</v>
      </c>
    </row>
    <row r="222" spans="1:15">
      <c r="A222">
        <v>104</v>
      </c>
      <c r="C222">
        <v>5</v>
      </c>
      <c r="D222" t="s">
        <v>124</v>
      </c>
      <c r="E222">
        <v>509</v>
      </c>
      <c r="F222">
        <v>77.47</v>
      </c>
      <c r="G222">
        <v>5.18</v>
      </c>
      <c r="H222">
        <v>0</v>
      </c>
      <c r="J222">
        <v>8.9799999999999898</v>
      </c>
      <c r="K222">
        <v>91.63</v>
      </c>
      <c r="L222">
        <v>33.602255667038293</v>
      </c>
      <c r="M222">
        <v>125.23225566703829</v>
      </c>
      <c r="N222">
        <v>38.81907766334546</v>
      </c>
      <c r="O222">
        <v>1</v>
      </c>
    </row>
    <row r="224" spans="1:15">
      <c r="A224">
        <v>105</v>
      </c>
      <c r="C224">
        <v>5</v>
      </c>
      <c r="D224" t="s">
        <v>127</v>
      </c>
      <c r="E224">
        <v>510</v>
      </c>
      <c r="F224">
        <v>55.13</v>
      </c>
      <c r="G224">
        <v>7.08</v>
      </c>
      <c r="H224">
        <v>0</v>
      </c>
      <c r="J224">
        <v>5.970000000000006</v>
      </c>
      <c r="K224">
        <v>68.180000000000007</v>
      </c>
      <c r="L224">
        <v>24.164853214418429</v>
      </c>
      <c r="M224">
        <v>92.344853214418436</v>
      </c>
      <c r="N224">
        <v>28.62475014641349</v>
      </c>
      <c r="O224">
        <v>0</v>
      </c>
    </row>
    <row r="226" spans="1:15">
      <c r="A226">
        <v>106</v>
      </c>
      <c r="C226">
        <v>5</v>
      </c>
      <c r="D226" t="s">
        <v>128</v>
      </c>
      <c r="E226">
        <v>511</v>
      </c>
      <c r="F226">
        <v>28.45</v>
      </c>
      <c r="G226">
        <v>0</v>
      </c>
      <c r="H226">
        <v>0</v>
      </c>
      <c r="J226">
        <v>4.5999999999999979</v>
      </c>
      <c r="K226">
        <v>33.049999999999997</v>
      </c>
      <c r="L226">
        <v>12.286306205871426</v>
      </c>
      <c r="M226">
        <v>45.336306205871423</v>
      </c>
      <c r="N226">
        <v>14.05319725497966</v>
      </c>
      <c r="O226">
        <v>0</v>
      </c>
    </row>
    <row r="228" spans="1:15">
      <c r="A228">
        <v>107</v>
      </c>
      <c r="C228">
        <v>5</v>
      </c>
      <c r="D228" t="s">
        <v>127</v>
      </c>
      <c r="E228">
        <v>512</v>
      </c>
      <c r="F228">
        <v>55.13</v>
      </c>
      <c r="G228">
        <v>7.08</v>
      </c>
      <c r="H228">
        <v>0</v>
      </c>
      <c r="J228">
        <v>7.6999999999999957</v>
      </c>
      <c r="K228">
        <v>69.91</v>
      </c>
      <c r="L228">
        <v>25.872237086584917</v>
      </c>
      <c r="M228">
        <v>95.782237086584914</v>
      </c>
      <c r="N228">
        <v>29.690258954680388</v>
      </c>
      <c r="O228">
        <v>0</v>
      </c>
    </row>
    <row r="230" spans="1:15">
      <c r="A230">
        <v>108</v>
      </c>
      <c r="C230">
        <v>5</v>
      </c>
      <c r="D230" t="s">
        <v>127</v>
      </c>
      <c r="E230">
        <v>513</v>
      </c>
      <c r="F230">
        <v>54.8</v>
      </c>
      <c r="G230">
        <v>3.87</v>
      </c>
      <c r="H230">
        <v>3.88</v>
      </c>
      <c r="J230">
        <v>7.210000000000008</v>
      </c>
      <c r="K230">
        <v>69.760000000000005</v>
      </c>
      <c r="L230">
        <v>26.672552954292087</v>
      </c>
      <c r="M230">
        <v>96.432552954292092</v>
      </c>
      <c r="N230">
        <v>29.891841702190344</v>
      </c>
      <c r="O230">
        <v>0</v>
      </c>
    </row>
    <row r="232" spans="1:15">
      <c r="A232">
        <v>109</v>
      </c>
      <c r="C232">
        <v>5</v>
      </c>
      <c r="D232" t="s">
        <v>127</v>
      </c>
      <c r="E232">
        <v>514</v>
      </c>
      <c r="F232">
        <v>57.98</v>
      </c>
      <c r="G232">
        <v>8.83</v>
      </c>
      <c r="H232">
        <v>0</v>
      </c>
      <c r="J232">
        <v>7.3900000000000006</v>
      </c>
      <c r="K232">
        <v>74.2</v>
      </c>
      <c r="L232">
        <v>27.806688963210703</v>
      </c>
      <c r="M232">
        <v>102.00668896321071</v>
      </c>
      <c r="N232">
        <v>31.619693823704235</v>
      </c>
      <c r="O232">
        <v>0</v>
      </c>
    </row>
    <row r="234" spans="1:15">
      <c r="A234">
        <v>110</v>
      </c>
      <c r="C234">
        <v>5</v>
      </c>
      <c r="D234" t="s">
        <v>127</v>
      </c>
      <c r="E234">
        <v>515</v>
      </c>
      <c r="F234">
        <v>58.39</v>
      </c>
      <c r="G234">
        <v>3.46</v>
      </c>
      <c r="H234">
        <v>0</v>
      </c>
      <c r="J234">
        <v>7.3399999999999963</v>
      </c>
      <c r="K234">
        <v>69.19</v>
      </c>
      <c r="L234">
        <v>25.570312151616506</v>
      </c>
      <c r="M234">
        <v>94.760312151616503</v>
      </c>
      <c r="N234">
        <v>29.373486065736174</v>
      </c>
      <c r="O234">
        <v>0</v>
      </c>
    </row>
    <row r="236" spans="1:15">
      <c r="A236">
        <v>111</v>
      </c>
      <c r="C236">
        <v>5</v>
      </c>
      <c r="D236" t="s">
        <v>127</v>
      </c>
      <c r="E236">
        <v>516</v>
      </c>
      <c r="F236">
        <v>53.31</v>
      </c>
      <c r="G236">
        <v>4.78</v>
      </c>
      <c r="H236">
        <v>0</v>
      </c>
      <c r="J236">
        <v>7.1899999999999977</v>
      </c>
      <c r="K236">
        <v>65.28</v>
      </c>
      <c r="L236">
        <v>24.091980676328504</v>
      </c>
      <c r="M236">
        <v>89.371980676328505</v>
      </c>
      <c r="N236">
        <v>27.703229014939414</v>
      </c>
      <c r="O236">
        <v>0</v>
      </c>
    </row>
    <row r="238" spans="1:15">
      <c r="A238">
        <v>112</v>
      </c>
      <c r="C238">
        <v>5</v>
      </c>
      <c r="D238" t="s">
        <v>124</v>
      </c>
      <c r="E238">
        <v>517</v>
      </c>
      <c r="F238">
        <v>75.86</v>
      </c>
      <c r="G238">
        <v>5.52</v>
      </c>
      <c r="H238">
        <v>3.32</v>
      </c>
      <c r="J238">
        <v>7.4800000000000182</v>
      </c>
      <c r="K238">
        <v>92.18</v>
      </c>
      <c r="L238">
        <v>33.981278335191377</v>
      </c>
      <c r="M238">
        <v>126.16127833519138</v>
      </c>
      <c r="N238">
        <v>39.107053016931104</v>
      </c>
      <c r="O238">
        <v>1</v>
      </c>
    </row>
    <row r="240" spans="1:15">
      <c r="A240">
        <v>113</v>
      </c>
      <c r="C240">
        <v>5</v>
      </c>
      <c r="D240" t="s">
        <v>124</v>
      </c>
      <c r="E240">
        <v>518</v>
      </c>
      <c r="F240">
        <v>74.41</v>
      </c>
      <c r="G240">
        <v>5.71</v>
      </c>
      <c r="H240">
        <v>0</v>
      </c>
      <c r="J240">
        <v>6.6700000000000159</v>
      </c>
      <c r="K240">
        <v>86.79</v>
      </c>
      <c r="L240">
        <v>32.217803790412489</v>
      </c>
      <c r="M240">
        <v>119.0078037904125</v>
      </c>
      <c r="N240">
        <v>36.88964279432161</v>
      </c>
      <c r="O240">
        <v>1</v>
      </c>
    </row>
    <row r="242" spans="2:16">
      <c r="C242" t="s">
        <v>152</v>
      </c>
      <c r="P242">
        <v>6</v>
      </c>
    </row>
    <row r="243" spans="2:16">
      <c r="C243" t="s">
        <v>157</v>
      </c>
      <c r="O243" t="s">
        <v>158</v>
      </c>
    </row>
    <row r="244" spans="2:16">
      <c r="B244" t="s">
        <v>43</v>
      </c>
      <c r="F244">
        <v>6271.4100000000017</v>
      </c>
      <c r="G244">
        <v>467.52999999999975</v>
      </c>
      <c r="H244">
        <v>58.370000000000012</v>
      </c>
      <c r="J244">
        <v>804.45000000000027</v>
      </c>
      <c r="K244">
        <v>7601.7599999999993</v>
      </c>
      <c r="L244">
        <v>2791.7740022296534</v>
      </c>
      <c r="M244">
        <v>10393.534002229657</v>
      </c>
      <c r="N244">
        <v>3221.7530657748043</v>
      </c>
      <c r="O244">
        <v>74</v>
      </c>
      <c r="P244">
        <v>7</v>
      </c>
    </row>
    <row r="245" spans="2:16">
      <c r="O245">
        <v>81</v>
      </c>
    </row>
    <row r="246" spans="2:16">
      <c r="D246" t="s">
        <v>132</v>
      </c>
      <c r="F246" t="s">
        <v>131</v>
      </c>
      <c r="H246">
        <v>3221.7530657748048</v>
      </c>
      <c r="I246" t="s">
        <v>15</v>
      </c>
      <c r="L246">
        <v>0.30997667059959233</v>
      </c>
    </row>
    <row r="247" spans="2:16">
      <c r="F247" t="s">
        <v>133</v>
      </c>
      <c r="H247">
        <v>10393.534002229657</v>
      </c>
    </row>
    <row r="249" spans="2:16">
      <c r="F249" t="s">
        <v>134</v>
      </c>
      <c r="G249" t="s">
        <v>135</v>
      </c>
    </row>
    <row r="250" spans="2:16">
      <c r="D250" t="s">
        <v>154</v>
      </c>
      <c r="F250">
        <v>38767.949999999997</v>
      </c>
      <c r="G250">
        <v>3601.6304347826085</v>
      </c>
    </row>
    <row r="251" spans="2:16">
      <c r="D251" t="s">
        <v>155</v>
      </c>
      <c r="F251">
        <v>4089</v>
      </c>
      <c r="G251">
        <v>379.87736900780379</v>
      </c>
    </row>
    <row r="252" spans="2:16">
      <c r="D252" t="s">
        <v>156</v>
      </c>
      <c r="F252">
        <v>34678.949999999997</v>
      </c>
      <c r="G252">
        <v>3221.7530657748048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Area</vt:lpstr>
      <vt:lpstr>RERA </vt:lpstr>
      <vt:lpstr>Area Statement Opt-A2 with pool</vt:lpstr>
      <vt:lpstr>Sheet1</vt:lpstr>
      <vt:lpstr>Excel_BuiltIn__FilterDatabase_1</vt:lpstr>
      <vt:lpstr>'Area Statement Opt-A2 with pool'!Print_Area</vt:lpstr>
      <vt:lpstr>'RERA '!Print_Area</vt:lpstr>
      <vt:lpstr>'RERA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2026-02-23T07:31:45Z</cp:lastPrinted>
  <dcterms:created xsi:type="dcterms:W3CDTF">2015-12-21T05:28:16Z</dcterms:created>
  <dcterms:modified xsi:type="dcterms:W3CDTF">2026-02-23T08:42:27Z</dcterms:modified>
</cp:coreProperties>
</file>