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G:\TNRERA - Online Uplaoding documents\"/>
    </mc:Choice>
  </mc:AlternateContent>
  <xr:revisionPtr revIDLastSave="0" documentId="8_{06EE78A5-B8A7-4FE1-9B50-9B8B0E35A8B8}" xr6:coauthVersionLast="47" xr6:coauthVersionMax="47" xr10:uidLastSave="{00000000-0000-0000-0000-000000000000}"/>
  <bookViews>
    <workbookView xWindow="30" yWindow="30" windowWidth="28770" windowHeight="15450" firstSheet="1" activeTab="1" xr2:uid="{00000000-000D-0000-FFFF-FFFF00000000}"/>
  </bookViews>
  <sheets>
    <sheet name="Area" sheetId="1" state="hidden" r:id="rId1"/>
    <sheet name="RERA " sheetId="11" r:id="rId2"/>
    <sheet name="Area Statement Opt-A2 with pool" sheetId="8" state="hidden" r:id="rId3"/>
  </sheets>
  <definedNames>
    <definedName name="Excel_BuiltIn__FilterDatabase_1">Area!$B$40:$J$42</definedName>
    <definedName name="Excel_BuiltIn_Print_Area_2_1" localSheetId="1">#REF!</definedName>
    <definedName name="Excel_BuiltIn_Print_Area_2_1">#REF!</definedName>
    <definedName name="Excel_BuiltIn_Print_Titles_2" localSheetId="1">#REF!</definedName>
    <definedName name="Excel_BuiltIn_Print_Titles_2">#REF!</definedName>
    <definedName name="_xlnm.Print_Area" localSheetId="2">'Area Statement Opt-A2 with pool'!$A$1:$J$173</definedName>
    <definedName name="_xlnm.Print_Area" localSheetId="1">'RERA '!$A$1:$O$90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11" l="1"/>
  <c r="J35" i="11" s="1"/>
  <c r="J45" i="11" s="1"/>
  <c r="J55" i="11" s="1"/>
  <c r="J24" i="11"/>
  <c r="J34" i="11" s="1"/>
  <c r="J44" i="11" s="1"/>
  <c r="J54" i="11" s="1"/>
  <c r="K10" i="11"/>
  <c r="R16" i="11"/>
  <c r="R15" i="11"/>
  <c r="R14" i="11"/>
  <c r="R13" i="11"/>
  <c r="R12" i="11"/>
  <c r="R11" i="11"/>
  <c r="R10" i="11"/>
  <c r="R9" i="11"/>
  <c r="R8" i="11"/>
  <c r="J16" i="11"/>
  <c r="J26" i="11" s="1"/>
  <c r="J36" i="11" s="1"/>
  <c r="J46" i="11" s="1"/>
  <c r="J56" i="11" s="1"/>
  <c r="J15" i="11"/>
  <c r="J14" i="11"/>
  <c r="J13" i="11"/>
  <c r="J12" i="11"/>
  <c r="J22" i="11" s="1"/>
  <c r="J32" i="11" s="1"/>
  <c r="J42" i="11" s="1"/>
  <c r="J52" i="11" s="1"/>
  <c r="J11" i="11"/>
  <c r="J21" i="11" s="1"/>
  <c r="J31" i="11" s="1"/>
  <c r="J41" i="11" s="1"/>
  <c r="J51" i="11" s="1"/>
  <c r="J10" i="11"/>
  <c r="J20" i="11" s="1"/>
  <c r="J30" i="11" s="1"/>
  <c r="J40" i="11" s="1"/>
  <c r="J50" i="11" s="1"/>
  <c r="J9" i="11"/>
  <c r="J8" i="11"/>
  <c r="J18" i="11" s="1"/>
  <c r="J28" i="11" s="1"/>
  <c r="J38" i="11" s="1"/>
  <c r="J48" i="11" s="1"/>
  <c r="O58" i="11"/>
  <c r="N58" i="11"/>
  <c r="L56" i="11"/>
  <c r="L55" i="11"/>
  <c r="L54" i="11"/>
  <c r="L53" i="11"/>
  <c r="L52" i="11"/>
  <c r="L51" i="11"/>
  <c r="L50" i="11"/>
  <c r="L49" i="11"/>
  <c r="L48" i="11"/>
  <c r="L46" i="11"/>
  <c r="L45" i="11"/>
  <c r="L44" i="11"/>
  <c r="L43" i="11"/>
  <c r="L42" i="11"/>
  <c r="L41" i="11"/>
  <c r="L40" i="11"/>
  <c r="L39" i="11"/>
  <c r="L38" i="11"/>
  <c r="L36" i="11"/>
  <c r="L35" i="11"/>
  <c r="L34" i="11"/>
  <c r="L33" i="11"/>
  <c r="L32" i="11"/>
  <c r="L31" i="11"/>
  <c r="L30" i="11"/>
  <c r="L29" i="11"/>
  <c r="L28" i="11"/>
  <c r="L26" i="11"/>
  <c r="L25" i="11"/>
  <c r="L24" i="11"/>
  <c r="L23" i="11"/>
  <c r="L22" i="11"/>
  <c r="L21" i="11"/>
  <c r="L20" i="11"/>
  <c r="L19" i="11"/>
  <c r="L18" i="11"/>
  <c r="L16" i="11"/>
  <c r="K16" i="11" s="1"/>
  <c r="L15" i="11"/>
  <c r="K15" i="11" s="1"/>
  <c r="L14" i="11"/>
  <c r="K14" i="11" s="1"/>
  <c r="L13" i="11"/>
  <c r="K13" i="11" s="1"/>
  <c r="L12" i="11"/>
  <c r="L11" i="11"/>
  <c r="K11" i="11" s="1"/>
  <c r="L10" i="11"/>
  <c r="L9" i="11"/>
  <c r="K9" i="11" s="1"/>
  <c r="L8" i="11"/>
  <c r="K8" i="11" s="1"/>
  <c r="E61" i="11"/>
  <c r="G16" i="11"/>
  <c r="G26" i="11" s="1"/>
  <c r="G36" i="11" s="1"/>
  <c r="G46" i="11" s="1"/>
  <c r="G56" i="11" s="1"/>
  <c r="G15" i="11"/>
  <c r="G25" i="11" s="1"/>
  <c r="G35" i="11" s="1"/>
  <c r="G45" i="11" s="1"/>
  <c r="G55" i="11" s="1"/>
  <c r="G14" i="11"/>
  <c r="G13" i="11"/>
  <c r="G12" i="11"/>
  <c r="G22" i="11" s="1"/>
  <c r="G11" i="11"/>
  <c r="G21" i="11" s="1"/>
  <c r="H10" i="11"/>
  <c r="H20" i="11" s="1"/>
  <c r="H30" i="11" s="1"/>
  <c r="H40" i="11" s="1"/>
  <c r="H50" i="11" s="1"/>
  <c r="H11" i="11"/>
  <c r="H21" i="11" s="1"/>
  <c r="H31" i="11" s="1"/>
  <c r="H41" i="11" s="1"/>
  <c r="H51" i="11" s="1"/>
  <c r="H12" i="11"/>
  <c r="F16" i="11"/>
  <c r="F26" i="11" s="1"/>
  <c r="F36" i="11" s="1"/>
  <c r="F46" i="11" s="1"/>
  <c r="F56" i="11" s="1"/>
  <c r="F15" i="11"/>
  <c r="F25" i="11" s="1"/>
  <c r="F35" i="11" s="1"/>
  <c r="F14" i="11"/>
  <c r="F24" i="11" s="1"/>
  <c r="F34" i="11" s="1"/>
  <c r="F13" i="11"/>
  <c r="F23" i="11" s="1"/>
  <c r="F33" i="11" s="1"/>
  <c r="F12" i="11"/>
  <c r="F22" i="11" s="1"/>
  <c r="F32" i="11" s="1"/>
  <c r="F42" i="11" s="1"/>
  <c r="F52" i="11" s="1"/>
  <c r="F11" i="11"/>
  <c r="F21" i="11" s="1"/>
  <c r="F31" i="11" s="1"/>
  <c r="F41" i="11" s="1"/>
  <c r="F51" i="11" s="1"/>
  <c r="G10" i="11"/>
  <c r="G20" i="11" s="1"/>
  <c r="F10" i="11"/>
  <c r="F20" i="11" s="1"/>
  <c r="F30" i="11" s="1"/>
  <c r="F40" i="11" s="1"/>
  <c r="F50" i="11" s="1"/>
  <c r="H9" i="11"/>
  <c r="H19" i="11" s="1"/>
  <c r="H29" i="11" s="1"/>
  <c r="H39" i="11" s="1"/>
  <c r="H49" i="11" s="1"/>
  <c r="G9" i="11"/>
  <c r="G19" i="11" s="1"/>
  <c r="G29" i="11" s="1"/>
  <c r="G39" i="11" s="1"/>
  <c r="G49" i="11" s="1"/>
  <c r="F9" i="11"/>
  <c r="F19" i="11" s="1"/>
  <c r="F29" i="11" s="1"/>
  <c r="F39" i="11" s="1"/>
  <c r="F49" i="11" s="1"/>
  <c r="H24" i="11"/>
  <c r="H34" i="11" s="1"/>
  <c r="H44" i="11" s="1"/>
  <c r="H54" i="11" s="1"/>
  <c r="H25" i="11"/>
  <c r="H35" i="11" s="1"/>
  <c r="H45" i="11" s="1"/>
  <c r="H55" i="11" s="1"/>
  <c r="H26" i="11"/>
  <c r="H36" i="11" s="1"/>
  <c r="H46" i="11" s="1"/>
  <c r="H56" i="11" s="1"/>
  <c r="H23" i="11"/>
  <c r="H33" i="11" s="1"/>
  <c r="H43" i="11" s="1"/>
  <c r="H53" i="11" s="1"/>
  <c r="H8" i="11"/>
  <c r="H18" i="11" s="1"/>
  <c r="H28" i="11" s="1"/>
  <c r="H38" i="11" s="1"/>
  <c r="H48" i="11" s="1"/>
  <c r="G8" i="11"/>
  <c r="G18" i="11" s="1"/>
  <c r="G28" i="11" s="1"/>
  <c r="G38" i="11" s="1"/>
  <c r="G48" i="11" s="1"/>
  <c r="F8" i="11"/>
  <c r="F18" i="11" s="1"/>
  <c r="F28" i="11" s="1"/>
  <c r="F38" i="11" s="1"/>
  <c r="F48" i="11" s="1"/>
  <c r="K12" i="11" l="1"/>
  <c r="I13" i="11"/>
  <c r="I23" i="11" s="1"/>
  <c r="I33" i="11" s="1"/>
  <c r="I43" i="11" s="1"/>
  <c r="I53" i="11" s="1"/>
  <c r="I14" i="11"/>
  <c r="I24" i="11" s="1"/>
  <c r="I34" i="11" s="1"/>
  <c r="I44" i="11" s="1"/>
  <c r="I54" i="11" s="1"/>
  <c r="I10" i="11"/>
  <c r="I20" i="11" s="1"/>
  <c r="I30" i="11" s="1"/>
  <c r="I40" i="11" s="1"/>
  <c r="I50" i="11" s="1"/>
  <c r="I9" i="11"/>
  <c r="I19" i="11" s="1"/>
  <c r="I29" i="11" s="1"/>
  <c r="I39" i="11" s="1"/>
  <c r="I49" i="11" s="1"/>
  <c r="I15" i="11"/>
  <c r="I25" i="11" s="1"/>
  <c r="I35" i="11" s="1"/>
  <c r="I45" i="11" s="1"/>
  <c r="I55" i="11" s="1"/>
  <c r="H22" i="11"/>
  <c r="I11" i="11"/>
  <c r="I21" i="11" s="1"/>
  <c r="I31" i="11" s="1"/>
  <c r="I41" i="11" s="1"/>
  <c r="I51" i="11" s="1"/>
  <c r="L58" i="11"/>
  <c r="I8" i="11"/>
  <c r="I18" i="11" s="1"/>
  <c r="I28" i="11" s="1"/>
  <c r="I38" i="11" s="1"/>
  <c r="I48" i="11" s="1"/>
  <c r="I12" i="11"/>
  <c r="I22" i="11" s="1"/>
  <c r="I32" i="11" s="1"/>
  <c r="I42" i="11" s="1"/>
  <c r="I52" i="11" s="1"/>
  <c r="I16" i="11"/>
  <c r="I26" i="11" s="1"/>
  <c r="I36" i="11" s="1"/>
  <c r="I46" i="11" s="1"/>
  <c r="I56" i="11" s="1"/>
  <c r="J19" i="11"/>
  <c r="J29" i="11" s="1"/>
  <c r="J39" i="11" s="1"/>
  <c r="J49" i="11" s="1"/>
  <c r="J23" i="11"/>
  <c r="J33" i="11" s="1"/>
  <c r="J43" i="11" s="1"/>
  <c r="J53" i="11" s="1"/>
  <c r="K26" i="11"/>
  <c r="K36" i="11" s="1"/>
  <c r="K21" i="11"/>
  <c r="K31" i="11" s="1"/>
  <c r="K41" i="11" s="1"/>
  <c r="K25" i="11"/>
  <c r="K35" i="11" s="1"/>
  <c r="K45" i="11" s="1"/>
  <c r="K18" i="11"/>
  <c r="K22" i="11"/>
  <c r="K32" i="11" s="1"/>
  <c r="K23" i="11"/>
  <c r="K33" i="11" s="1"/>
  <c r="K43" i="11" s="1"/>
  <c r="K19" i="11"/>
  <c r="K29" i="11" s="1"/>
  <c r="K39" i="11" s="1"/>
  <c r="K24" i="11"/>
  <c r="K34" i="11" s="1"/>
  <c r="K20" i="11"/>
  <c r="K30" i="11" s="1"/>
  <c r="G24" i="11"/>
  <c r="G34" i="11" s="1"/>
  <c r="G44" i="11" s="1"/>
  <c r="G54" i="11" s="1"/>
  <c r="G23" i="11"/>
  <c r="G33" i="11" s="1"/>
  <c r="G43" i="11" s="1"/>
  <c r="G53" i="11" s="1"/>
  <c r="G32" i="11"/>
  <c r="G42" i="11" s="1"/>
  <c r="G52" i="11" s="1"/>
  <c r="G30" i="11"/>
  <c r="G40" i="11" s="1"/>
  <c r="G50" i="11" s="1"/>
  <c r="F45" i="11"/>
  <c r="F44" i="11"/>
  <c r="G31" i="11"/>
  <c r="G41" i="11" s="1"/>
  <c r="G51" i="11" s="1"/>
  <c r="F43" i="11"/>
  <c r="H32" i="11" l="1"/>
  <c r="H42" i="11" s="1"/>
  <c r="H52" i="11" s="1"/>
  <c r="J58" i="11"/>
  <c r="I58" i="11"/>
  <c r="G58" i="11"/>
  <c r="K28" i="11"/>
  <c r="K38" i="11" s="1"/>
  <c r="K46" i="11"/>
  <c r="K42" i="11"/>
  <c r="K53" i="11"/>
  <c r="K55" i="11"/>
  <c r="K44" i="11"/>
  <c r="K40" i="11"/>
  <c r="K49" i="11"/>
  <c r="K51" i="11"/>
  <c r="F53" i="11"/>
  <c r="F55" i="11"/>
  <c r="F54" i="11"/>
  <c r="D170" i="8"/>
  <c r="M144" i="8"/>
  <c r="M145" i="8" s="1"/>
  <c r="H58" i="11" l="1"/>
  <c r="F58" i="11"/>
  <c r="K54" i="11"/>
  <c r="K56" i="11"/>
  <c r="K50" i="11"/>
  <c r="K52" i="11"/>
  <c r="K48" i="11"/>
  <c r="K58" i="11" s="1"/>
  <c r="D56" i="8"/>
  <c r="D73" i="8"/>
  <c r="D90" i="8"/>
  <c r="D105" i="8"/>
  <c r="D120" i="8"/>
  <c r="D135" i="8"/>
  <c r="D139" i="8" s="1"/>
  <c r="M134" i="8" l="1"/>
  <c r="M135" i="8" s="1"/>
  <c r="D138" i="8" l="1"/>
  <c r="D150" i="8" l="1"/>
  <c r="M6" i="8"/>
  <c r="M7" i="8" s="1"/>
  <c r="D165" i="8"/>
  <c r="D148" i="8"/>
  <c r="D151" i="8" s="1"/>
  <c r="D36" i="8"/>
  <c r="D39" i="8" s="1"/>
  <c r="D17" i="8"/>
  <c r="D20" i="8" s="1"/>
  <c r="O24" i="1"/>
  <c r="O25" i="1" s="1"/>
  <c r="J8" i="1"/>
  <c r="K8" i="1" s="1"/>
  <c r="N11" i="1"/>
  <c r="P185" i="1"/>
  <c r="P184" i="1"/>
  <c r="P183" i="1"/>
  <c r="P182" i="1"/>
  <c r="P181" i="1"/>
  <c r="P180" i="1"/>
  <c r="P179" i="1"/>
  <c r="P178" i="1"/>
  <c r="P177" i="1"/>
  <c r="P176" i="1"/>
  <c r="P162" i="1"/>
  <c r="P161" i="1"/>
  <c r="P160" i="1"/>
  <c r="P159" i="1"/>
  <c r="P158" i="1"/>
  <c r="P144" i="1"/>
  <c r="P143" i="1"/>
  <c r="P142" i="1"/>
  <c r="P141" i="1"/>
  <c r="P140" i="1"/>
  <c r="P139" i="1"/>
  <c r="P138" i="1"/>
  <c r="P137" i="1"/>
  <c r="P136" i="1"/>
  <c r="P135" i="1"/>
  <c r="P101" i="1"/>
  <c r="P102" i="1"/>
  <c r="P103" i="1"/>
  <c r="P104" i="1"/>
  <c r="P105" i="1"/>
  <c r="P106" i="1"/>
  <c r="P107" i="1"/>
  <c r="P108" i="1"/>
  <c r="P109" i="1"/>
  <c r="P110" i="1"/>
  <c r="P111" i="1"/>
  <c r="P100" i="1"/>
  <c r="P74" i="1"/>
  <c r="P75" i="1"/>
  <c r="P76" i="1"/>
  <c r="P77" i="1"/>
  <c r="P78" i="1"/>
  <c r="P79" i="1"/>
  <c r="P80" i="1"/>
  <c r="P81" i="1"/>
  <c r="P82" i="1"/>
  <c r="P83" i="1"/>
  <c r="P73" i="1"/>
  <c r="P41" i="1"/>
  <c r="P42" i="1"/>
  <c r="P43" i="1"/>
  <c r="P44" i="1"/>
  <c r="P45" i="1"/>
  <c r="P46" i="1"/>
  <c r="P47" i="1"/>
  <c r="P48" i="1"/>
  <c r="P49" i="1"/>
  <c r="P50" i="1"/>
  <c r="P51" i="1"/>
  <c r="P40" i="1"/>
  <c r="H11" i="1"/>
  <c r="O110" i="1"/>
  <c r="O109" i="1"/>
  <c r="O108" i="1"/>
  <c r="O107" i="1"/>
  <c r="O106" i="1"/>
  <c r="O105" i="1"/>
  <c r="O104" i="1"/>
  <c r="O103" i="1"/>
  <c r="O83" i="1"/>
  <c r="O82" i="1"/>
  <c r="O81" i="1"/>
  <c r="O77" i="1"/>
  <c r="J11" i="1"/>
  <c r="J14" i="1"/>
  <c r="K14" i="1" s="1"/>
  <c r="O40" i="1"/>
  <c r="O52" i="1" s="1"/>
  <c r="O41" i="1"/>
  <c r="O42" i="1"/>
  <c r="O43" i="1"/>
  <c r="O44" i="1"/>
  <c r="O45" i="1"/>
  <c r="O46" i="1"/>
  <c r="O47" i="1"/>
  <c r="O48" i="1"/>
  <c r="O49" i="1"/>
  <c r="O50" i="1"/>
  <c r="O51" i="1"/>
  <c r="D52" i="1"/>
  <c r="D54" i="1" s="1"/>
  <c r="E52" i="1"/>
  <c r="I52" i="1"/>
  <c r="I54" i="1" s="1"/>
  <c r="L52" i="1"/>
  <c r="O73" i="1"/>
  <c r="O74" i="1"/>
  <c r="O75" i="1"/>
  <c r="O85" i="1" s="1"/>
  <c r="O76" i="1"/>
  <c r="O78" i="1"/>
  <c r="O79" i="1"/>
  <c r="O80" i="1"/>
  <c r="O84" i="1"/>
  <c r="D85" i="1"/>
  <c r="D87" i="1" s="1"/>
  <c r="E85" i="1"/>
  <c r="E87" i="1" s="1"/>
  <c r="I85" i="1"/>
  <c r="I87" i="1" s="1"/>
  <c r="L85" i="1"/>
  <c r="O100" i="1"/>
  <c r="O101" i="1"/>
  <c r="O102" i="1"/>
  <c r="O111" i="1"/>
  <c r="D113" i="1"/>
  <c r="D115" i="1" s="1"/>
  <c r="E113" i="1"/>
  <c r="E115" i="1" s="1"/>
  <c r="I113" i="1"/>
  <c r="I115" i="1" s="1"/>
  <c r="L113" i="1"/>
  <c r="O135" i="1"/>
  <c r="O136" i="1"/>
  <c r="O137" i="1"/>
  <c r="O138" i="1"/>
  <c r="O139" i="1"/>
  <c r="O140" i="1"/>
  <c r="O141" i="1"/>
  <c r="O142" i="1"/>
  <c r="O143" i="1"/>
  <c r="O144" i="1"/>
  <c r="D145" i="1"/>
  <c r="D147" i="1" s="1"/>
  <c r="E145" i="1"/>
  <c r="E147" i="1" s="1"/>
  <c r="I145" i="1"/>
  <c r="I147" i="1" s="1"/>
  <c r="L145" i="1"/>
  <c r="O158" i="1"/>
  <c r="O159" i="1"/>
  <c r="O160" i="1"/>
  <c r="O161" i="1"/>
  <c r="O162" i="1"/>
  <c r="D163" i="1"/>
  <c r="D165" i="1" s="1"/>
  <c r="E163" i="1"/>
  <c r="E165" i="1" s="1"/>
  <c r="I163" i="1"/>
  <c r="I165" i="1" s="1"/>
  <c r="L163" i="1"/>
  <c r="O176" i="1"/>
  <c r="O177" i="1"/>
  <c r="O178" i="1"/>
  <c r="O186" i="1" s="1"/>
  <c r="O179" i="1"/>
  <c r="O180" i="1"/>
  <c r="O181" i="1"/>
  <c r="O182" i="1"/>
  <c r="O183" i="1"/>
  <c r="O184" i="1"/>
  <c r="O185" i="1"/>
  <c r="D186" i="1"/>
  <c r="D188" i="1" s="1"/>
  <c r="E186" i="1"/>
  <c r="E188" i="1" s="1"/>
  <c r="I186" i="1"/>
  <c r="I188" i="1" s="1"/>
  <c r="L186" i="1"/>
  <c r="E54" i="1"/>
  <c r="O145" i="1" l="1"/>
  <c r="O163" i="1"/>
  <c r="O113" i="1"/>
  <c r="E11" i="1"/>
  <c r="G11" i="1" s="1"/>
  <c r="K11" i="1" s="1"/>
  <c r="K20" i="1" s="1"/>
  <c r="E20" i="1"/>
  <c r="P113" i="1"/>
  <c r="P146" i="1"/>
  <c r="J20" i="1"/>
  <c r="H23" i="1" s="1"/>
  <c r="P164" i="1"/>
  <c r="O188" i="1"/>
  <c r="D190" i="1"/>
  <c r="P52" i="1"/>
  <c r="P85" i="1"/>
  <c r="P187" i="1"/>
  <c r="E190" i="1"/>
  <c r="I190" i="1"/>
  <c r="D171" i="8"/>
  <c r="E170" i="8" s="1"/>
  <c r="E138" i="8"/>
  <c r="D38" i="8"/>
  <c r="E38" i="8" s="1"/>
  <c r="D168" i="8"/>
  <c r="G20" i="1" l="1"/>
  <c r="J27" i="1"/>
  <c r="L26" i="1" s="1"/>
  <c r="H24" i="1"/>
  <c r="J23" i="1" s="1"/>
  <c r="E118" i="8"/>
  <c r="E116" i="8"/>
  <c r="E114" i="8"/>
  <c r="E112" i="8"/>
  <c r="E110" i="8"/>
  <c r="E103" i="8"/>
  <c r="E101" i="8"/>
  <c r="E97" i="8"/>
  <c r="E95" i="8"/>
  <c r="E89" i="8"/>
  <c r="E85" i="8"/>
  <c r="E83" i="8"/>
  <c r="E81" i="8"/>
  <c r="E79" i="8"/>
  <c r="E72" i="8"/>
  <c r="E70" i="8"/>
  <c r="E68" i="8"/>
  <c r="E66" i="8"/>
  <c r="E64" i="8"/>
  <c r="E62" i="8"/>
  <c r="E119" i="8"/>
  <c r="E117" i="8"/>
  <c r="E115" i="8"/>
  <c r="E113" i="8"/>
  <c r="E111" i="8"/>
  <c r="E104" i="8"/>
  <c r="E102" i="8"/>
  <c r="E98" i="8"/>
  <c r="E96" i="8"/>
  <c r="E86" i="8"/>
  <c r="E84" i="8"/>
  <c r="E82" i="8"/>
  <c r="E80" i="8"/>
  <c r="E78" i="8"/>
  <c r="E71" i="8"/>
  <c r="E69" i="8"/>
  <c r="E67" i="8"/>
  <c r="E65" i="8"/>
  <c r="E63" i="8"/>
  <c r="E61" i="8"/>
  <c r="E44" i="8"/>
  <c r="E133" i="8"/>
  <c r="E131" i="8"/>
  <c r="E127" i="8"/>
  <c r="E125" i="8"/>
  <c r="E134" i="8"/>
  <c r="E132" i="8"/>
  <c r="E128" i="8"/>
  <c r="E126" i="8"/>
  <c r="F164" i="8"/>
  <c r="F71" i="8"/>
  <c r="F69" i="8"/>
  <c r="F67" i="8"/>
  <c r="F65" i="8"/>
  <c r="F63" i="8"/>
  <c r="F61" i="8"/>
  <c r="F89" i="8"/>
  <c r="F85" i="8"/>
  <c r="F83" i="8"/>
  <c r="F81" i="8"/>
  <c r="F79" i="8"/>
  <c r="F103" i="8"/>
  <c r="G103" i="8" s="1"/>
  <c r="H103" i="8" s="1"/>
  <c r="J103" i="8" s="1"/>
  <c r="F101" i="8"/>
  <c r="G101" i="8" s="1"/>
  <c r="H101" i="8" s="1"/>
  <c r="J101" i="8" s="1"/>
  <c r="F97" i="8"/>
  <c r="F95" i="8"/>
  <c r="F118" i="8"/>
  <c r="F116" i="8"/>
  <c r="F114" i="8"/>
  <c r="F112" i="8"/>
  <c r="F110" i="8"/>
  <c r="F133" i="8"/>
  <c r="F131" i="8"/>
  <c r="F127" i="8"/>
  <c r="F125" i="8"/>
  <c r="F72" i="8"/>
  <c r="F70" i="8"/>
  <c r="F68" i="8"/>
  <c r="F66" i="8"/>
  <c r="F64" i="8"/>
  <c r="F62" i="8"/>
  <c r="F86" i="8"/>
  <c r="F84" i="8"/>
  <c r="F82" i="8"/>
  <c r="F80" i="8"/>
  <c r="F78" i="8"/>
  <c r="F104" i="8"/>
  <c r="G104" i="8" s="1"/>
  <c r="H104" i="8" s="1"/>
  <c r="J104" i="8" s="1"/>
  <c r="F102" i="8"/>
  <c r="F98" i="8"/>
  <c r="F96" i="8"/>
  <c r="F119" i="8"/>
  <c r="F117" i="8"/>
  <c r="F115" i="8"/>
  <c r="F113" i="8"/>
  <c r="F111" i="8"/>
  <c r="F134" i="8"/>
  <c r="F132" i="8"/>
  <c r="F128" i="8"/>
  <c r="F126" i="8"/>
  <c r="D19" i="8"/>
  <c r="E19" i="8" s="1"/>
  <c r="E15" i="8" s="1"/>
  <c r="F12" i="8"/>
  <c r="F8" i="8"/>
  <c r="F27" i="8"/>
  <c r="F6" i="8"/>
  <c r="F10" i="8"/>
  <c r="F16" i="8"/>
  <c r="F34" i="8"/>
  <c r="F5" i="8"/>
  <c r="F7" i="8"/>
  <c r="F9" i="8"/>
  <c r="F11" i="8"/>
  <c r="F14" i="8"/>
  <c r="F25" i="8"/>
  <c r="F30" i="8"/>
  <c r="F46" i="8"/>
  <c r="F13" i="8"/>
  <c r="F15" i="8"/>
  <c r="F24" i="8"/>
  <c r="F26" i="8"/>
  <c r="F28" i="8"/>
  <c r="F32" i="8"/>
  <c r="F44" i="8"/>
  <c r="F50" i="8"/>
  <c r="F29" i="8"/>
  <c r="F31" i="8"/>
  <c r="F33" i="8"/>
  <c r="F35" i="8"/>
  <c r="F45" i="8"/>
  <c r="F48" i="8"/>
  <c r="F52" i="8"/>
  <c r="F47" i="8"/>
  <c r="F49" i="8"/>
  <c r="F51" i="8"/>
  <c r="F55" i="8"/>
  <c r="F144" i="8"/>
  <c r="F143" i="8"/>
  <c r="F145" i="8"/>
  <c r="F146" i="8"/>
  <c r="F147" i="8"/>
  <c r="F155" i="8"/>
  <c r="F156" i="8"/>
  <c r="F157" i="8"/>
  <c r="F158" i="8"/>
  <c r="F159" i="8"/>
  <c r="F160" i="8"/>
  <c r="F161" i="8"/>
  <c r="F163" i="8"/>
  <c r="F162" i="8"/>
  <c r="E55" i="8"/>
  <c r="E50" i="8"/>
  <c r="E46" i="8"/>
  <c r="E52" i="8"/>
  <c r="E48" i="8"/>
  <c r="E34" i="8"/>
  <c r="G34" i="8" s="1"/>
  <c r="H34" i="8" s="1"/>
  <c r="J34" i="8" s="1"/>
  <c r="E33" i="8"/>
  <c r="E29" i="8"/>
  <c r="E25" i="8"/>
  <c r="E35" i="8"/>
  <c r="G35" i="8" s="1"/>
  <c r="H35" i="8" s="1"/>
  <c r="J35" i="8" s="1"/>
  <c r="E31" i="8"/>
  <c r="E27" i="8"/>
  <c r="E24" i="8"/>
  <c r="E26" i="8"/>
  <c r="E28" i="8"/>
  <c r="E30" i="8"/>
  <c r="E32" i="8"/>
  <c r="E45" i="8"/>
  <c r="E47" i="8"/>
  <c r="E49" i="8"/>
  <c r="E51" i="8"/>
  <c r="G96" i="8" l="1"/>
  <c r="H96" i="8" s="1"/>
  <c r="J96" i="8" s="1"/>
  <c r="G98" i="8"/>
  <c r="H98" i="8" s="1"/>
  <c r="J98" i="8" s="1"/>
  <c r="G102" i="8"/>
  <c r="H102" i="8" s="1"/>
  <c r="J102" i="8" s="1"/>
  <c r="G50" i="1"/>
  <c r="G110" i="1"/>
  <c r="G73" i="1"/>
  <c r="G136" i="1"/>
  <c r="G111" i="1"/>
  <c r="G75" i="1"/>
  <c r="G177" i="1"/>
  <c r="G77" i="1"/>
  <c r="G84" i="1"/>
  <c r="G83" i="1"/>
  <c r="G182" i="1"/>
  <c r="G140" i="1"/>
  <c r="G40" i="1"/>
  <c r="G78" i="1"/>
  <c r="G42" i="1"/>
  <c r="G143" i="1"/>
  <c r="G51" i="1"/>
  <c r="G184" i="1"/>
  <c r="G144" i="1"/>
  <c r="G48" i="1"/>
  <c r="G139" i="1"/>
  <c r="G158" i="1"/>
  <c r="G82" i="1"/>
  <c r="G41" i="1"/>
  <c r="G49" i="1"/>
  <c r="G106" i="1"/>
  <c r="G142" i="1"/>
  <c r="G80" i="1"/>
  <c r="G102" i="1"/>
  <c r="G107" i="1"/>
  <c r="G183" i="1"/>
  <c r="G47" i="1"/>
  <c r="G160" i="1"/>
  <c r="G105" i="1"/>
  <c r="G76" i="1"/>
  <c r="G161" i="1"/>
  <c r="G74" i="1"/>
  <c r="G159" i="1"/>
  <c r="G135" i="1"/>
  <c r="G162" i="1"/>
  <c r="G79" i="1"/>
  <c r="G109" i="1"/>
  <c r="G141" i="1"/>
  <c r="G103" i="1"/>
  <c r="G185" i="1"/>
  <c r="G46" i="1"/>
  <c r="G44" i="1"/>
  <c r="G181" i="1"/>
  <c r="G101" i="1"/>
  <c r="G45" i="1"/>
  <c r="G100" i="1"/>
  <c r="G43" i="1"/>
  <c r="G137" i="1"/>
  <c r="G179" i="1"/>
  <c r="G138" i="1"/>
  <c r="G178" i="1"/>
  <c r="G81" i="1"/>
  <c r="G180" i="1"/>
  <c r="G108" i="1"/>
  <c r="G176" i="1"/>
  <c r="G104" i="1"/>
  <c r="F100" i="1"/>
  <c r="F77" i="1"/>
  <c r="H77" i="1" s="1"/>
  <c r="J77" i="1" s="1"/>
  <c r="K77" i="1" s="1"/>
  <c r="F83" i="1"/>
  <c r="F159" i="1"/>
  <c r="H159" i="1" s="1"/>
  <c r="J159" i="1" s="1"/>
  <c r="K159" i="1" s="1"/>
  <c r="F48" i="1"/>
  <c r="H48" i="1" s="1"/>
  <c r="J48" i="1" s="1"/>
  <c r="K48" i="1" s="1"/>
  <c r="F74" i="1"/>
  <c r="F84" i="1"/>
  <c r="H84" i="1" s="1"/>
  <c r="J84" i="1" s="1"/>
  <c r="K84" i="1" s="1"/>
  <c r="F47" i="1"/>
  <c r="H47" i="1" s="1"/>
  <c r="J47" i="1" s="1"/>
  <c r="K47" i="1" s="1"/>
  <c r="F162" i="1"/>
  <c r="F42" i="1"/>
  <c r="H42" i="1" s="1"/>
  <c r="J42" i="1" s="1"/>
  <c r="K42" i="1" s="1"/>
  <c r="F180" i="1"/>
  <c r="F141" i="1"/>
  <c r="F41" i="1"/>
  <c r="H41" i="1" s="1"/>
  <c r="J41" i="1" s="1"/>
  <c r="K41" i="1" s="1"/>
  <c r="F109" i="1"/>
  <c r="H109" i="1" s="1"/>
  <c r="J109" i="1" s="1"/>
  <c r="K109" i="1" s="1"/>
  <c r="F176" i="1"/>
  <c r="F140" i="1"/>
  <c r="H140" i="1" s="1"/>
  <c r="J140" i="1" s="1"/>
  <c r="K140" i="1" s="1"/>
  <c r="F139" i="1"/>
  <c r="F137" i="1"/>
  <c r="F144" i="1"/>
  <c r="F73" i="1"/>
  <c r="F79" i="1"/>
  <c r="F104" i="1"/>
  <c r="F43" i="1"/>
  <c r="H43" i="1" s="1"/>
  <c r="J43" i="1" s="1"/>
  <c r="K43" i="1" s="1"/>
  <c r="F105" i="1"/>
  <c r="H105" i="1" s="1"/>
  <c r="J105" i="1" s="1"/>
  <c r="K105" i="1" s="1"/>
  <c r="F136" i="1"/>
  <c r="F78" i="1"/>
  <c r="F161" i="1"/>
  <c r="H161" i="1" s="1"/>
  <c r="J161" i="1" s="1"/>
  <c r="K161" i="1" s="1"/>
  <c r="F75" i="1"/>
  <c r="F177" i="1"/>
  <c r="F106" i="1"/>
  <c r="H106" i="1" s="1"/>
  <c r="J106" i="1" s="1"/>
  <c r="K106" i="1" s="1"/>
  <c r="F45" i="1"/>
  <c r="H45" i="1" s="1"/>
  <c r="J45" i="1" s="1"/>
  <c r="K45" i="1" s="1"/>
  <c r="F182" i="1"/>
  <c r="H182" i="1" s="1"/>
  <c r="J182" i="1" s="1"/>
  <c r="K182" i="1" s="1"/>
  <c r="F107" i="1"/>
  <c r="H107" i="1" s="1"/>
  <c r="J107" i="1" s="1"/>
  <c r="K107" i="1" s="1"/>
  <c r="F110" i="1"/>
  <c r="H110" i="1" s="1"/>
  <c r="J110" i="1" s="1"/>
  <c r="K110" i="1" s="1"/>
  <c r="F160" i="1"/>
  <c r="F143" i="1"/>
  <c r="H143" i="1" s="1"/>
  <c r="J143" i="1" s="1"/>
  <c r="K143" i="1" s="1"/>
  <c r="F111" i="1"/>
  <c r="F81" i="1"/>
  <c r="H81" i="1" s="1"/>
  <c r="J81" i="1" s="1"/>
  <c r="K81" i="1" s="1"/>
  <c r="F82" i="1"/>
  <c r="H82" i="1" s="1"/>
  <c r="J82" i="1" s="1"/>
  <c r="K82" i="1" s="1"/>
  <c r="F51" i="1"/>
  <c r="H51" i="1" s="1"/>
  <c r="J51" i="1" s="1"/>
  <c r="K51" i="1" s="1"/>
  <c r="F142" i="1"/>
  <c r="F103" i="1"/>
  <c r="H103" i="1" s="1"/>
  <c r="J103" i="1" s="1"/>
  <c r="K103" i="1" s="1"/>
  <c r="F76" i="1"/>
  <c r="F49" i="1"/>
  <c r="H49" i="1" s="1"/>
  <c r="J49" i="1" s="1"/>
  <c r="K49" i="1" s="1"/>
  <c r="F179" i="1"/>
  <c r="H179" i="1" s="1"/>
  <c r="J179" i="1" s="1"/>
  <c r="K179" i="1" s="1"/>
  <c r="F183" i="1"/>
  <c r="F185" i="1"/>
  <c r="F101" i="1"/>
  <c r="F50" i="1"/>
  <c r="H50" i="1" s="1"/>
  <c r="J50" i="1" s="1"/>
  <c r="K50" i="1" s="1"/>
  <c r="F102" i="1"/>
  <c r="F46" i="1"/>
  <c r="H46" i="1" s="1"/>
  <c r="J46" i="1" s="1"/>
  <c r="K46" i="1" s="1"/>
  <c r="F181" i="1"/>
  <c r="F178" i="1"/>
  <c r="F135" i="1"/>
  <c r="F40" i="1"/>
  <c r="F158" i="1"/>
  <c r="F80" i="1"/>
  <c r="H80" i="1" s="1"/>
  <c r="J80" i="1" s="1"/>
  <c r="K80" i="1" s="1"/>
  <c r="F44" i="1"/>
  <c r="F184" i="1"/>
  <c r="F138" i="1"/>
  <c r="H138" i="1" s="1"/>
  <c r="J138" i="1" s="1"/>
  <c r="K138" i="1" s="1"/>
  <c r="F108" i="1"/>
  <c r="F17" i="8"/>
  <c r="G97" i="8"/>
  <c r="H97" i="8" s="1"/>
  <c r="J97" i="8" s="1"/>
  <c r="G86" i="8"/>
  <c r="H86" i="8" s="1"/>
  <c r="J86" i="8" s="1"/>
  <c r="G79" i="8"/>
  <c r="H79" i="8" s="1"/>
  <c r="J79" i="8" s="1"/>
  <c r="G89" i="8"/>
  <c r="H89" i="8" s="1"/>
  <c r="J89" i="8" s="1"/>
  <c r="G84" i="8"/>
  <c r="H84" i="8" s="1"/>
  <c r="J84" i="8" s="1"/>
  <c r="G85" i="8"/>
  <c r="H85" i="8" s="1"/>
  <c r="J85" i="8" s="1"/>
  <c r="G113" i="8"/>
  <c r="H113" i="8" s="1"/>
  <c r="J113" i="8" s="1"/>
  <c r="G112" i="8"/>
  <c r="H112" i="8" s="1"/>
  <c r="J112" i="8" s="1"/>
  <c r="G82" i="8"/>
  <c r="H82" i="8" s="1"/>
  <c r="J82" i="8" s="1"/>
  <c r="G83" i="8"/>
  <c r="H83" i="8" s="1"/>
  <c r="J83" i="8" s="1"/>
  <c r="F165" i="8"/>
  <c r="G46" i="8"/>
  <c r="H46" i="8" s="1"/>
  <c r="J46" i="8" s="1"/>
  <c r="G48" i="8"/>
  <c r="H48" i="8" s="1"/>
  <c r="J48" i="8" s="1"/>
  <c r="G111" i="8"/>
  <c r="H111" i="8" s="1"/>
  <c r="J111" i="8" s="1"/>
  <c r="G119" i="8"/>
  <c r="H119" i="8" s="1"/>
  <c r="J119" i="8" s="1"/>
  <c r="G118" i="8"/>
  <c r="H118" i="8" s="1"/>
  <c r="J118" i="8" s="1"/>
  <c r="G117" i="8"/>
  <c r="H117" i="8" s="1"/>
  <c r="J117" i="8" s="1"/>
  <c r="G116" i="8"/>
  <c r="H116" i="8" s="1"/>
  <c r="J116" i="8" s="1"/>
  <c r="G115" i="8"/>
  <c r="H115" i="8" s="1"/>
  <c r="J115" i="8" s="1"/>
  <c r="G80" i="8"/>
  <c r="H80" i="8" s="1"/>
  <c r="J80" i="8" s="1"/>
  <c r="G114" i="8"/>
  <c r="H114" i="8" s="1"/>
  <c r="J114" i="8" s="1"/>
  <c r="G81" i="8"/>
  <c r="H81" i="8" s="1"/>
  <c r="J81" i="8" s="1"/>
  <c r="E105" i="8"/>
  <c r="E120" i="8"/>
  <c r="E90" i="8"/>
  <c r="E150" i="8"/>
  <c r="E144" i="8" s="1"/>
  <c r="G144" i="8" s="1"/>
  <c r="H144" i="8" s="1"/>
  <c r="J144" i="8" s="1"/>
  <c r="D167" i="8"/>
  <c r="E167" i="8" s="1"/>
  <c r="G126" i="8"/>
  <c r="H126" i="8" s="1"/>
  <c r="J126" i="8" s="1"/>
  <c r="G132" i="8"/>
  <c r="H132" i="8" s="1"/>
  <c r="J132" i="8" s="1"/>
  <c r="G131" i="8"/>
  <c r="H131" i="8" s="1"/>
  <c r="J131" i="8" s="1"/>
  <c r="G128" i="8"/>
  <c r="H128" i="8" s="1"/>
  <c r="J128" i="8" s="1"/>
  <c r="G134" i="8"/>
  <c r="H134" i="8" s="1"/>
  <c r="J134" i="8" s="1"/>
  <c r="G127" i="8"/>
  <c r="H127" i="8" s="1"/>
  <c r="J127" i="8" s="1"/>
  <c r="G133" i="8"/>
  <c r="H133" i="8" s="1"/>
  <c r="J133" i="8" s="1"/>
  <c r="E135" i="8"/>
  <c r="E56" i="8"/>
  <c r="F135" i="8"/>
  <c r="G125" i="8"/>
  <c r="H125" i="8" s="1"/>
  <c r="F120" i="8"/>
  <c r="G110" i="8"/>
  <c r="H110" i="8" s="1"/>
  <c r="F73" i="8"/>
  <c r="F90" i="8"/>
  <c r="G78" i="8"/>
  <c r="H78" i="8" s="1"/>
  <c r="F105" i="8"/>
  <c r="G95" i="8"/>
  <c r="F56" i="8"/>
  <c r="F148" i="8"/>
  <c r="F36" i="8"/>
  <c r="E36" i="8"/>
  <c r="G28" i="8"/>
  <c r="H28" i="8" s="1"/>
  <c r="J28" i="8" s="1"/>
  <c r="G31" i="8"/>
  <c r="H31" i="8" s="1"/>
  <c r="J31" i="8" s="1"/>
  <c r="G32" i="8"/>
  <c r="H32" i="8" s="1"/>
  <c r="J32" i="8" s="1"/>
  <c r="G25" i="8"/>
  <c r="H25" i="8" s="1"/>
  <c r="J25" i="8" s="1"/>
  <c r="G27" i="8"/>
  <c r="H27" i="8" s="1"/>
  <c r="J27" i="8" s="1"/>
  <c r="G24" i="8"/>
  <c r="H24" i="8" s="1"/>
  <c r="G51" i="8"/>
  <c r="H51" i="8" s="1"/>
  <c r="J51" i="8" s="1"/>
  <c r="G50" i="8"/>
  <c r="H50" i="8" s="1"/>
  <c r="J50" i="8" s="1"/>
  <c r="G49" i="8"/>
  <c r="H49" i="8" s="1"/>
  <c r="J49" i="8" s="1"/>
  <c r="G26" i="8"/>
  <c r="H26" i="8" s="1"/>
  <c r="J26" i="8" s="1"/>
  <c r="G15" i="8"/>
  <c r="H15" i="8" s="1"/>
  <c r="J15" i="8" s="1"/>
  <c r="E6" i="8"/>
  <c r="G6" i="8" s="1"/>
  <c r="H6" i="8" s="1"/>
  <c r="J6" i="8" s="1"/>
  <c r="E8" i="8"/>
  <c r="G8" i="8" s="1"/>
  <c r="H8" i="8" s="1"/>
  <c r="J8" i="8" s="1"/>
  <c r="E10" i="8"/>
  <c r="G10" i="8" s="1"/>
  <c r="H10" i="8" s="1"/>
  <c r="J10" i="8" s="1"/>
  <c r="E12" i="8"/>
  <c r="G12" i="8" s="1"/>
  <c r="H12" i="8" s="1"/>
  <c r="J12" i="8" s="1"/>
  <c r="E14" i="8"/>
  <c r="G14" i="8" s="1"/>
  <c r="H14" i="8" s="1"/>
  <c r="J14" i="8" s="1"/>
  <c r="E16" i="8"/>
  <c r="G16" i="8" s="1"/>
  <c r="H16" i="8" s="1"/>
  <c r="J16" i="8" s="1"/>
  <c r="E5" i="8"/>
  <c r="G5" i="8" s="1"/>
  <c r="H5" i="8" s="1"/>
  <c r="E7" i="8"/>
  <c r="G7" i="8" s="1"/>
  <c r="H7" i="8" s="1"/>
  <c r="J7" i="8" s="1"/>
  <c r="E9" i="8"/>
  <c r="G9" i="8" s="1"/>
  <c r="H9" i="8" s="1"/>
  <c r="J9" i="8" s="1"/>
  <c r="E11" i="8"/>
  <c r="G11" i="8" s="1"/>
  <c r="H11" i="8" s="1"/>
  <c r="J11" i="8" s="1"/>
  <c r="E13" i="8"/>
  <c r="G13" i="8" s="1"/>
  <c r="H13" i="8" s="1"/>
  <c r="J13" i="8" s="1"/>
  <c r="G47" i="8"/>
  <c r="H47" i="8" s="1"/>
  <c r="J47" i="8" s="1"/>
  <c r="G33" i="8"/>
  <c r="H33" i="8" s="1"/>
  <c r="J33" i="8" s="1"/>
  <c r="G29" i="8"/>
  <c r="H29" i="8" s="1"/>
  <c r="J29" i="8" s="1"/>
  <c r="G44" i="8"/>
  <c r="H44" i="8" s="1"/>
  <c r="G45" i="8"/>
  <c r="H45" i="8" s="1"/>
  <c r="J45" i="8" s="1"/>
  <c r="G30" i="8"/>
  <c r="H30" i="8" s="1"/>
  <c r="J30" i="8" s="1"/>
  <c r="G52" i="8"/>
  <c r="H52" i="8" s="1"/>
  <c r="J52" i="8" s="1"/>
  <c r="G55" i="8"/>
  <c r="H55" i="8" s="1"/>
  <c r="J55" i="8" s="1"/>
  <c r="H185" i="1" l="1"/>
  <c r="J185" i="1" s="1"/>
  <c r="K185" i="1" s="1"/>
  <c r="H108" i="1"/>
  <c r="J108" i="1" s="1"/>
  <c r="K108" i="1" s="1"/>
  <c r="H111" i="1"/>
  <c r="J111" i="1" s="1"/>
  <c r="K111" i="1" s="1"/>
  <c r="H104" i="1"/>
  <c r="J104" i="1" s="1"/>
  <c r="K104" i="1" s="1"/>
  <c r="H74" i="1"/>
  <c r="J74" i="1" s="1"/>
  <c r="K74" i="1" s="1"/>
  <c r="H141" i="1"/>
  <c r="J141" i="1" s="1"/>
  <c r="K141" i="1" s="1"/>
  <c r="H144" i="1"/>
  <c r="J144" i="1" s="1"/>
  <c r="K144" i="1" s="1"/>
  <c r="H180" i="1"/>
  <c r="J180" i="1" s="1"/>
  <c r="K180" i="1" s="1"/>
  <c r="H102" i="1"/>
  <c r="J102" i="1" s="1"/>
  <c r="K102" i="1" s="1"/>
  <c r="H137" i="1"/>
  <c r="J137" i="1" s="1"/>
  <c r="K137" i="1" s="1"/>
  <c r="H142" i="1"/>
  <c r="J142" i="1" s="1"/>
  <c r="K142" i="1" s="1"/>
  <c r="H136" i="1"/>
  <c r="J136" i="1" s="1"/>
  <c r="K136" i="1" s="1"/>
  <c r="H139" i="1"/>
  <c r="J139" i="1" s="1"/>
  <c r="K139" i="1" s="1"/>
  <c r="H162" i="1"/>
  <c r="J162" i="1" s="1"/>
  <c r="K162" i="1" s="1"/>
  <c r="G186" i="1"/>
  <c r="G188" i="1" s="1"/>
  <c r="H44" i="1"/>
  <c r="J44" i="1" s="1"/>
  <c r="K44" i="1" s="1"/>
  <c r="F163" i="1"/>
  <c r="F165" i="1" s="1"/>
  <c r="H158" i="1"/>
  <c r="H135" i="1"/>
  <c r="F145" i="1"/>
  <c r="F147" i="1" s="1"/>
  <c r="H181" i="1"/>
  <c r="J181" i="1" s="1"/>
  <c r="K181" i="1" s="1"/>
  <c r="H101" i="1"/>
  <c r="J101" i="1" s="1"/>
  <c r="K101" i="1" s="1"/>
  <c r="H183" i="1"/>
  <c r="J183" i="1" s="1"/>
  <c r="K183" i="1" s="1"/>
  <c r="H75" i="1"/>
  <c r="J75" i="1" s="1"/>
  <c r="K75" i="1" s="1"/>
  <c r="H78" i="1"/>
  <c r="J78" i="1" s="1"/>
  <c r="K78" i="1" s="1"/>
  <c r="H73" i="1"/>
  <c r="F85" i="1"/>
  <c r="F87" i="1" s="1"/>
  <c r="G113" i="1"/>
  <c r="G115" i="1" s="1"/>
  <c r="G145" i="1"/>
  <c r="G147" i="1" s="1"/>
  <c r="G52" i="1"/>
  <c r="G54" i="1" s="1"/>
  <c r="G85" i="1"/>
  <c r="G87" i="1" s="1"/>
  <c r="H184" i="1"/>
  <c r="J184" i="1" s="1"/>
  <c r="K184" i="1" s="1"/>
  <c r="F52" i="1"/>
  <c r="F54" i="1" s="1"/>
  <c r="H40" i="1"/>
  <c r="H178" i="1"/>
  <c r="J178" i="1" s="1"/>
  <c r="K178" i="1" s="1"/>
  <c r="H76" i="1"/>
  <c r="J76" i="1"/>
  <c r="K76" i="1" s="1"/>
  <c r="H160" i="1"/>
  <c r="J160" i="1" s="1"/>
  <c r="K160" i="1" s="1"/>
  <c r="H177" i="1"/>
  <c r="J177" i="1" s="1"/>
  <c r="K177" i="1" s="1"/>
  <c r="H79" i="1"/>
  <c r="J79" i="1" s="1"/>
  <c r="K79" i="1" s="1"/>
  <c r="H176" i="1"/>
  <c r="F186" i="1"/>
  <c r="F188" i="1" s="1"/>
  <c r="H83" i="1"/>
  <c r="J83" i="1" s="1"/>
  <c r="K83" i="1" s="1"/>
  <c r="F113" i="1"/>
  <c r="F115" i="1" s="1"/>
  <c r="H100" i="1"/>
  <c r="G163" i="1"/>
  <c r="G165" i="1" s="1"/>
  <c r="E146" i="8"/>
  <c r="G146" i="8" s="1"/>
  <c r="H146" i="8" s="1"/>
  <c r="J146" i="8" s="1"/>
  <c r="J78" i="8"/>
  <c r="J90" i="8" s="1"/>
  <c r="H90" i="8"/>
  <c r="J44" i="8"/>
  <c r="J56" i="8" s="1"/>
  <c r="H56" i="8"/>
  <c r="H120" i="8"/>
  <c r="J110" i="8"/>
  <c r="J120" i="8" s="1"/>
  <c r="G105" i="8"/>
  <c r="H95" i="8"/>
  <c r="H135" i="8"/>
  <c r="J125" i="8"/>
  <c r="J135" i="8" s="1"/>
  <c r="H36" i="8"/>
  <c r="J24" i="8"/>
  <c r="J36" i="8" s="1"/>
  <c r="J5" i="8"/>
  <c r="J17" i="8" s="1"/>
  <c r="H17" i="8"/>
  <c r="M8" i="8"/>
  <c r="N8" i="8" s="1"/>
  <c r="E143" i="8"/>
  <c r="G90" i="8"/>
  <c r="G120" i="8"/>
  <c r="F166" i="8"/>
  <c r="G36" i="8"/>
  <c r="E147" i="8"/>
  <c r="G147" i="8" s="1"/>
  <c r="H147" i="8" s="1"/>
  <c r="J147" i="8" s="1"/>
  <c r="E145" i="8"/>
  <c r="G145" i="8" s="1"/>
  <c r="H145" i="8" s="1"/>
  <c r="J145" i="8" s="1"/>
  <c r="E163" i="8"/>
  <c r="G163" i="8" s="1"/>
  <c r="H163" i="8" s="1"/>
  <c r="J163" i="8" s="1"/>
  <c r="E161" i="8"/>
  <c r="G161" i="8" s="1"/>
  <c r="H161" i="8" s="1"/>
  <c r="J161" i="8" s="1"/>
  <c r="E159" i="8"/>
  <c r="G159" i="8" s="1"/>
  <c r="H159" i="8" s="1"/>
  <c r="J159" i="8" s="1"/>
  <c r="E157" i="8"/>
  <c r="G157" i="8" s="1"/>
  <c r="H157" i="8" s="1"/>
  <c r="J157" i="8" s="1"/>
  <c r="E155" i="8"/>
  <c r="E164" i="8"/>
  <c r="G164" i="8" s="1"/>
  <c r="H164" i="8" s="1"/>
  <c r="J164" i="8" s="1"/>
  <c r="E162" i="8"/>
  <c r="G162" i="8" s="1"/>
  <c r="H162" i="8" s="1"/>
  <c r="J162" i="8" s="1"/>
  <c r="E160" i="8"/>
  <c r="G160" i="8" s="1"/>
  <c r="H160" i="8" s="1"/>
  <c r="J160" i="8" s="1"/>
  <c r="E158" i="8"/>
  <c r="G158" i="8" s="1"/>
  <c r="H158" i="8" s="1"/>
  <c r="J158" i="8" s="1"/>
  <c r="E156" i="8"/>
  <c r="G156" i="8" s="1"/>
  <c r="H156" i="8" s="1"/>
  <c r="J156" i="8" s="1"/>
  <c r="G56" i="8"/>
  <c r="G135" i="8"/>
  <c r="E17" i="8"/>
  <c r="N5" i="8"/>
  <c r="M5" i="8"/>
  <c r="N7" i="8"/>
  <c r="G17" i="8"/>
  <c r="H52" i="1" l="1"/>
  <c r="H54" i="1" s="1"/>
  <c r="H113" i="1"/>
  <c r="H115" i="1" s="1"/>
  <c r="H85" i="1"/>
  <c r="H87" i="1" s="1"/>
  <c r="J73" i="1"/>
  <c r="K73" i="1" s="1"/>
  <c r="H145" i="1"/>
  <c r="H147" i="1" s="1"/>
  <c r="J135" i="1"/>
  <c r="K135" i="1" s="1"/>
  <c r="F190" i="1"/>
  <c r="G190" i="1"/>
  <c r="H186" i="1"/>
  <c r="H188" i="1" s="1"/>
  <c r="J176" i="1"/>
  <c r="K176" i="1" s="1"/>
  <c r="H163" i="1"/>
  <c r="H165" i="1" s="1"/>
  <c r="J158" i="1"/>
  <c r="K158" i="1" s="1"/>
  <c r="J100" i="1"/>
  <c r="K100" i="1" s="1"/>
  <c r="J40" i="1"/>
  <c r="K40" i="1" s="1"/>
  <c r="E148" i="8"/>
  <c r="G143" i="8"/>
  <c r="H143" i="8" s="1"/>
  <c r="M146" i="8"/>
  <c r="J95" i="8"/>
  <c r="J105" i="8" s="1"/>
  <c r="H105" i="8"/>
  <c r="G71" i="8"/>
  <c r="H71" i="8" s="1"/>
  <c r="J71" i="8" s="1"/>
  <c r="G69" i="8"/>
  <c r="H69" i="8" s="1"/>
  <c r="J69" i="8" s="1"/>
  <c r="G67" i="8"/>
  <c r="H67" i="8" s="1"/>
  <c r="J67" i="8" s="1"/>
  <c r="G65" i="8"/>
  <c r="H65" i="8" s="1"/>
  <c r="J65" i="8" s="1"/>
  <c r="G63" i="8"/>
  <c r="H63" i="8" s="1"/>
  <c r="J63" i="8" s="1"/>
  <c r="E165" i="8"/>
  <c r="G72" i="8"/>
  <c r="H72" i="8" s="1"/>
  <c r="J72" i="8" s="1"/>
  <c r="G70" i="8"/>
  <c r="H70" i="8" s="1"/>
  <c r="J70" i="8" s="1"/>
  <c r="G68" i="8"/>
  <c r="H68" i="8" s="1"/>
  <c r="J68" i="8" s="1"/>
  <c r="G66" i="8"/>
  <c r="H66" i="8" s="1"/>
  <c r="J66" i="8" s="1"/>
  <c r="G64" i="8"/>
  <c r="H64" i="8" s="1"/>
  <c r="J64" i="8" s="1"/>
  <c r="G62" i="8"/>
  <c r="H62" i="8" s="1"/>
  <c r="J62" i="8" s="1"/>
  <c r="G155" i="8"/>
  <c r="N9" i="8"/>
  <c r="H190" i="1" l="1"/>
  <c r="G165" i="8"/>
  <c r="H155" i="8"/>
  <c r="N146" i="8"/>
  <c r="G148" i="8"/>
  <c r="J143" i="8"/>
  <c r="J148" i="8" s="1"/>
  <c r="H148" i="8"/>
  <c r="N143" i="8"/>
  <c r="M143" i="8"/>
  <c r="N145" i="8"/>
  <c r="E73" i="8"/>
  <c r="E136" i="8" s="1"/>
  <c r="G61" i="8"/>
  <c r="H61" i="8" s="1"/>
  <c r="N147" i="8" l="1"/>
  <c r="M165" i="8"/>
  <c r="H165" i="8"/>
  <c r="J155" i="8"/>
  <c r="J165" i="8" s="1"/>
  <c r="J61" i="8"/>
  <c r="J73" i="8" s="1"/>
  <c r="H73" i="8"/>
  <c r="G73" i="8"/>
  <c r="E173" i="8" s="1"/>
  <c r="F173" i="8" l="1"/>
  <c r="F60" i="11"/>
  <c r="M14" i="11" l="1"/>
  <c r="M24" i="11" s="1"/>
  <c r="M34" i="11" s="1"/>
  <c r="M44" i="11" s="1"/>
  <c r="M54" i="11" s="1"/>
  <c r="M10" i="11"/>
  <c r="M20" i="11" s="1"/>
  <c r="M30" i="11" s="1"/>
  <c r="M40" i="11" s="1"/>
  <c r="M50" i="11" s="1"/>
  <c r="M12" i="11"/>
  <c r="M22" i="11" s="1"/>
  <c r="M32" i="11" s="1"/>
  <c r="M42" i="11" s="1"/>
  <c r="M52" i="11" s="1"/>
  <c r="M13" i="11"/>
  <c r="M23" i="11" s="1"/>
  <c r="M33" i="11" s="1"/>
  <c r="M43" i="11" s="1"/>
  <c r="M53" i="11" s="1"/>
  <c r="M16" i="11"/>
  <c r="M26" i="11" s="1"/>
  <c r="M36" i="11" s="1"/>
  <c r="M46" i="11" s="1"/>
  <c r="M56" i="11" s="1"/>
  <c r="M15" i="11"/>
  <c r="M25" i="11" s="1"/>
  <c r="M35" i="11" s="1"/>
  <c r="M45" i="11" s="1"/>
  <c r="M55" i="11" s="1"/>
  <c r="M8" i="11"/>
  <c r="M9" i="11"/>
  <c r="M19" i="11" s="1"/>
  <c r="M29" i="11" s="1"/>
  <c r="M39" i="11" s="1"/>
  <c r="M49" i="11" s="1"/>
  <c r="M11" i="11"/>
  <c r="M21" i="11" s="1"/>
  <c r="M31" i="11" s="1"/>
  <c r="M41" i="11" s="1"/>
  <c r="M51" i="11" s="1"/>
  <c r="M18" i="11" l="1"/>
  <c r="M28" i="11" s="1"/>
  <c r="M38" i="11" s="1"/>
  <c r="M48" i="11" s="1"/>
  <c r="M58" i="11" l="1"/>
</calcChain>
</file>

<file path=xl/sharedStrings.xml><?xml version="1.0" encoding="utf-8"?>
<sst xmlns="http://schemas.openxmlformats.org/spreadsheetml/2006/main" count="767" uniqueCount="161">
  <si>
    <t xml:space="preserve">                  SALE AREA STATEMENT </t>
  </si>
  <si>
    <t xml:space="preserve">  FLOOR</t>
  </si>
  <si>
    <t xml:space="preserve">FLAT </t>
  </si>
  <si>
    <t>NO. OF</t>
  </si>
  <si>
    <t>TOTAL FLAT</t>
  </si>
  <si>
    <t xml:space="preserve">COMMON </t>
  </si>
  <si>
    <t>TOTALCOMMON</t>
  </si>
  <si>
    <t>TOTAL BUILT UP AREA</t>
  </si>
  <si>
    <t>AREA</t>
  </si>
  <si>
    <t xml:space="preserve">   FLOORS</t>
  </si>
  <si>
    <t>STILT</t>
  </si>
  <si>
    <t>TYPICAL FLOOR</t>
  </si>
  <si>
    <t>TERRACE</t>
  </si>
  <si>
    <t>TOTAL</t>
  </si>
  <si>
    <t>T.C.A</t>
  </si>
  <si>
    <t>=</t>
  </si>
  <si>
    <t>%</t>
  </si>
  <si>
    <t>T.P.A</t>
  </si>
  <si>
    <t>Total Service Area</t>
  </si>
  <si>
    <t>BLOCK – 1</t>
  </si>
  <si>
    <t>CARPET</t>
  </si>
  <si>
    <t>PLINTH</t>
  </si>
  <si>
    <t>COMMON</t>
  </si>
  <si>
    <t>SERVICE AREA</t>
  </si>
  <si>
    <t xml:space="preserve">SALE </t>
  </si>
  <si>
    <t>ROUNDED OFF</t>
  </si>
  <si>
    <t>COMMON&amp;</t>
  </si>
  <si>
    <t xml:space="preserve">NO. OF </t>
  </si>
  <si>
    <t>NO.</t>
  </si>
  <si>
    <t>FLAT</t>
  </si>
  <si>
    <t>TYPE</t>
  </si>
  <si>
    <t>SALE</t>
  </si>
  <si>
    <t>SERVICE</t>
  </si>
  <si>
    <t xml:space="preserve">UNITS PER </t>
  </si>
  <si>
    <t>FLOORS</t>
  </si>
  <si>
    <t>BLOCKS</t>
  </si>
  <si>
    <t>OF FLATS</t>
  </si>
  <si>
    <t>FLOOR</t>
  </si>
  <si>
    <t>3 BHK</t>
  </si>
  <si>
    <t>NO.OF FLOORS</t>
  </si>
  <si>
    <t>BLOCK – 2</t>
  </si>
  <si>
    <t>2 BHK</t>
  </si>
  <si>
    <t>TOTAL UNIT</t>
  </si>
  <si>
    <t>GRAND TOTAL</t>
  </si>
  <si>
    <r>
      <t xml:space="preserve">1st </t>
    </r>
    <r>
      <rPr>
        <sz val="10"/>
        <rFont val="Arial"/>
        <family val="2"/>
      </rPr>
      <t>to 9</t>
    </r>
    <r>
      <rPr>
        <vertAlign val="superscript"/>
        <sz val="12"/>
        <color indexed="8"/>
        <rFont val="Arial"/>
        <family val="2"/>
      </rPr>
      <t>th</t>
    </r>
    <r>
      <rPr>
        <sz val="12"/>
        <color indexed="8"/>
        <rFont val="Arial"/>
        <family val="2"/>
      </rPr>
      <t xml:space="preserve"> Floor</t>
    </r>
  </si>
  <si>
    <r>
      <t>1</t>
    </r>
    <r>
      <rPr>
        <b/>
        <vertAlign val="superscript"/>
        <sz val="12"/>
        <rFont val="Arial"/>
        <family val="2"/>
      </rPr>
      <t>st</t>
    </r>
    <r>
      <rPr>
        <b/>
        <sz val="12"/>
        <rFont val="Arial"/>
        <family val="2"/>
      </rPr>
      <t xml:space="preserve"> to 9</t>
    </r>
    <r>
      <rPr>
        <b/>
        <vertAlign val="superscript"/>
        <sz val="12"/>
        <rFont val="Arial"/>
        <family val="2"/>
      </rPr>
      <t xml:space="preserve">th </t>
    </r>
    <r>
      <rPr>
        <b/>
        <sz val="12"/>
        <color indexed="8"/>
        <rFont val="Arial"/>
        <family val="2"/>
      </rPr>
      <t>Floor</t>
    </r>
  </si>
  <si>
    <r>
      <t>1</t>
    </r>
    <r>
      <rPr>
        <b/>
        <vertAlign val="superscript"/>
        <sz val="12"/>
        <rFont val="Arial"/>
        <family val="2"/>
      </rPr>
      <t>st</t>
    </r>
    <r>
      <rPr>
        <b/>
        <sz val="12"/>
        <rFont val="Arial"/>
        <family val="2"/>
      </rPr>
      <t xml:space="preserve"> to 9 </t>
    </r>
    <r>
      <rPr>
        <b/>
        <vertAlign val="superscript"/>
        <sz val="12"/>
        <rFont val="Arial"/>
        <family val="2"/>
      </rPr>
      <t xml:space="preserve">th </t>
    </r>
    <r>
      <rPr>
        <b/>
        <sz val="12"/>
        <color indexed="8"/>
        <rFont val="Arial"/>
        <family val="2"/>
      </rPr>
      <t>Floor</t>
    </r>
  </si>
  <si>
    <t>101- 901</t>
  </si>
  <si>
    <t>102- 902</t>
  </si>
  <si>
    <t>103- 903</t>
  </si>
  <si>
    <t>104- 904</t>
  </si>
  <si>
    <t>105- 905</t>
  </si>
  <si>
    <t>106- 906</t>
  </si>
  <si>
    <t>107- 907</t>
  </si>
  <si>
    <t>108- 908</t>
  </si>
  <si>
    <t>109- 909</t>
  </si>
  <si>
    <t>110- 910</t>
  </si>
  <si>
    <t>111- 911</t>
  </si>
  <si>
    <t>112- 912</t>
  </si>
  <si>
    <t>2½ BHK</t>
  </si>
  <si>
    <t>[ Stair + Service ]</t>
  </si>
  <si>
    <t xml:space="preserve">               M/S  XSREAL PVT .LTD  - CHETTIPUNIYAM     MSB </t>
  </si>
  <si>
    <t>TOWER – 1  [ STILT + 9 FLOORS]</t>
  </si>
  <si>
    <t>TOWER – 2  [ STILT + 9 FLOORS]</t>
  </si>
  <si>
    <t>TOWER – 3  [ STILT + 9 FLOORS]</t>
  </si>
  <si>
    <t>TOWER – 4  [ STILT + 9 FLOORS]</t>
  </si>
  <si>
    <t>TOWER – 5  [ STILT + 9 FLOORS]</t>
  </si>
  <si>
    <t>TOWER – 6  [ L.I.G ] [ STILT + 9 FLOORS]</t>
  </si>
  <si>
    <t>Total Block Plinth Area [ 6 TOWERS]</t>
  </si>
  <si>
    <t>1½ BHK</t>
  </si>
  <si>
    <t>[ 4504.26 + 3143.60 ]</t>
  </si>
  <si>
    <t>[ 3250.32 +1470.22 ]</t>
  </si>
  <si>
    <t>[Head Rm + L.M.Rm ]</t>
  </si>
  <si>
    <t>Service  =  [ TRANFORMER + GENTRATOR + PUMP ROOM]</t>
  </si>
  <si>
    <t xml:space="preserve">                    [  1500 +  500 + 1000 ]  </t>
  </si>
  <si>
    <t>[ Club house +Service ] [ 4000 + 3000 ]</t>
  </si>
  <si>
    <t>19.04.2016</t>
  </si>
  <si>
    <t>Carpet Area %</t>
  </si>
  <si>
    <t>Flat No</t>
  </si>
  <si>
    <t>Apartment Type</t>
  </si>
  <si>
    <t>Carpet Area (Sq.ft)</t>
  </si>
  <si>
    <t>Plinth Area (Sq.ft)</t>
  </si>
  <si>
    <t>Common Area</t>
  </si>
  <si>
    <t>Saleable Area (Sq.ft)</t>
  </si>
  <si>
    <t>No.of Floors</t>
  </si>
  <si>
    <t>Block Common Area</t>
  </si>
  <si>
    <t>Club House Common Area</t>
  </si>
  <si>
    <t>Total</t>
  </si>
  <si>
    <t>Plinth area</t>
  </si>
  <si>
    <t>Block-4</t>
  </si>
  <si>
    <t>Block-3</t>
  </si>
  <si>
    <t>111-911</t>
  </si>
  <si>
    <t>112-912</t>
  </si>
  <si>
    <t>Block-2</t>
  </si>
  <si>
    <t>Block-1</t>
  </si>
  <si>
    <t>Clubhouse</t>
  </si>
  <si>
    <t>Total Plinth area</t>
  </si>
  <si>
    <t>Total Saleable Area</t>
  </si>
  <si>
    <t>Area Statement  Option-A2</t>
  </si>
  <si>
    <t>Carpet Area</t>
  </si>
  <si>
    <t>Plinth Area</t>
  </si>
  <si>
    <t>Wall Area</t>
  </si>
  <si>
    <t>Block-5(EWS)</t>
  </si>
  <si>
    <t>Club House</t>
  </si>
  <si>
    <t>Wing-A (9th floor)</t>
  </si>
  <si>
    <t>Wing-A (Typical Floor 2nd to 8th)</t>
  </si>
  <si>
    <t>Wing-A (First Floor)</t>
  </si>
  <si>
    <t>Wing-B (First Floor)</t>
  </si>
  <si>
    <t>201-801</t>
  </si>
  <si>
    <t>202-802</t>
  </si>
  <si>
    <t>203-803</t>
  </si>
  <si>
    <t>204-804</t>
  </si>
  <si>
    <t>205-805</t>
  </si>
  <si>
    <t>206-806</t>
  </si>
  <si>
    <t>207-807</t>
  </si>
  <si>
    <t>208-808</t>
  </si>
  <si>
    <t>209-809</t>
  </si>
  <si>
    <t>210-810</t>
  </si>
  <si>
    <t>211-811</t>
  </si>
  <si>
    <t>212-812</t>
  </si>
  <si>
    <t>Wing-B (Typical Floor 2nd to 8th)</t>
  </si>
  <si>
    <t>Wing-B (9th Floor)</t>
  </si>
  <si>
    <t>Rounded off saleable area</t>
  </si>
  <si>
    <t>Floor No</t>
  </si>
  <si>
    <t>UDS LAND AREA in SQ.M</t>
  </si>
  <si>
    <t>RERA  AREA  STATEMENT</t>
  </si>
  <si>
    <t>3BHK+3T</t>
  </si>
  <si>
    <t>TOTAL SALE AREA</t>
  </si>
  <si>
    <t xml:space="preserve">TOTAL LAND AREA </t>
  </si>
  <si>
    <t>Carparking Nos.</t>
  </si>
  <si>
    <t>Covered</t>
  </si>
  <si>
    <t>Open</t>
  </si>
  <si>
    <t>Exclusive Veranda/ Utility /service/ open Terrace (SQ.M)</t>
  </si>
  <si>
    <t>Exclusive Balcony   (SQ.M)</t>
  </si>
  <si>
    <t>-</t>
  </si>
  <si>
    <t>2BHK+2T</t>
  </si>
  <si>
    <t>VISITORS PARKING</t>
  </si>
  <si>
    <t>DATE : 04.06.2026</t>
  </si>
  <si>
    <t>A</t>
  </si>
  <si>
    <t>B</t>
  </si>
  <si>
    <t>C</t>
  </si>
  <si>
    <t>FLAT NO</t>
  </si>
  <si>
    <t>Rera Carpet Area (Sec.2(k)) (SQ.M)</t>
  </si>
  <si>
    <t>D</t>
  </si>
  <si>
    <t>AREA OF EXTERNAL WALLS           (SQ.M )</t>
  </si>
  <si>
    <t>FLOOR AREA OFTHE APARTMENT          (SQ.M )</t>
  </si>
  <si>
    <t>TOTAL AREA   (SQ.M )</t>
  </si>
  <si>
    <t>Proportionate common area (SQ.M )</t>
  </si>
  <si>
    <t>E = A+B+C+D</t>
  </si>
  <si>
    <t>INDIVIDUAL AREA/ TOTAL FLOOR AREA )  X TOTAL COMMON AREA</t>
  </si>
  <si>
    <t>G = ( E + F )</t>
  </si>
  <si>
    <t>TOTAL UDS / TOTAL GROSS AREA ) X INDIVIDUAL GROSS AREA</t>
  </si>
  <si>
    <t>BLOCK</t>
  </si>
  <si>
    <t>SINGLE BLOCK</t>
  </si>
  <si>
    <t>FIRST FLOOR</t>
  </si>
  <si>
    <t>SECOND FLOOR</t>
  </si>
  <si>
    <t>THIRD FLOOR</t>
  </si>
  <si>
    <t>FOURTH FLOOR</t>
  </si>
  <si>
    <t>FIFTH FLOOR</t>
  </si>
  <si>
    <t>NOTE :</t>
  </si>
  <si>
    <t xml:space="preserve">THE PROPOSED CONSTRUCTION  FOR M/S VIBRANT OFFICES &amp; HOMES LLP, RESIDENTIAL BUILDING  (HEIGHT -18.25 M HT) WITH 45 DWELLING UNITSAVAILING PREMIUM FSI AT MANAPAKKAM MAIN ROAD,(MANAPAKKAM KOLAPAKKAM ROAD AS PER DOCUMENT) KOLAPAKKAM, CHENNAI. COMPRISED INS.NO. 24 / 1B2 , OF KOLAPAKKAM VILLAGE, 
KUNDRATHUR TALUK , WITHIN THE LIMITS OF KUNDRATHUR PANCHAYATH UNION 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</si>
</sst>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mm/dd/yy"/>
    <numFmt numFmtId="165" formatCode="0.000"/>
    <numFmt numFmtId="166" formatCode="0.0"/>
    <numFmt numFmtId="167" formatCode="_ * #,##0_ ;_ * \-#,##0_ ;_ * &quot;-&quot;??_ ;_ @_ "/>
  </numFmts>
  <fonts count="62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vertAlign val="superscript"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9"/>
      <name val="Arial"/>
      <family val="2"/>
    </font>
    <font>
      <sz val="10"/>
      <color indexed="9"/>
      <name val="Arial"/>
      <family val="2"/>
    </font>
    <font>
      <sz val="11"/>
      <name val="Arial"/>
      <family val="2"/>
    </font>
    <font>
      <b/>
      <vertAlign val="superscript"/>
      <sz val="12"/>
      <name val="Arial"/>
      <family val="2"/>
    </font>
    <font>
      <b/>
      <sz val="12"/>
      <color indexed="8"/>
      <name val="Arial"/>
      <family val="2"/>
    </font>
    <font>
      <b/>
      <sz val="10.5"/>
      <color indexed="16"/>
      <name val="Arial"/>
      <family val="2"/>
    </font>
    <font>
      <b/>
      <sz val="12"/>
      <color indexed="16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4"/>
      <name val="Arial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u/>
      <sz val="16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3"/>
      <name val="Arial"/>
      <family val="2"/>
    </font>
    <font>
      <sz val="13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0" tint="-0.34998626667073579"/>
      <name val="Arial"/>
      <family val="2"/>
    </font>
    <font>
      <sz val="13"/>
      <color theme="0" tint="-0.34998626667073579"/>
      <name val="Arial"/>
      <family val="2"/>
    </font>
    <font>
      <sz val="9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1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5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2" borderId="1" applyNumberFormat="0" applyAlignment="0" applyProtection="0"/>
    <xf numFmtId="0" fontId="6" fillId="16" borderId="2" applyNumberFormat="0" applyAlignment="0" applyProtection="0"/>
    <xf numFmtId="43" fontId="1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" applyNumberFormat="0" applyAlignment="0" applyProtection="0"/>
    <xf numFmtId="0" fontId="13" fillId="0" borderId="6" applyNumberFormat="0" applyFill="0" applyAlignment="0" applyProtection="0"/>
    <xf numFmtId="0" fontId="14" fillId="8" borderId="0" applyNumberFormat="0" applyBorder="0" applyAlignment="0" applyProtection="0"/>
    <xf numFmtId="0" fontId="34" fillId="4" borderId="7" applyNumberFormat="0" applyAlignment="0" applyProtection="0"/>
    <xf numFmtId="0" fontId="15" fillId="2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9" fontId="34" fillId="0" borderId="0" applyFont="0" applyFill="0" applyBorder="0" applyAlignment="0" applyProtection="0"/>
  </cellStyleXfs>
  <cellXfs count="223">
    <xf numFmtId="0" fontId="0" fillId="0" borderId="0" xfId="0"/>
    <xf numFmtId="0" fontId="19" fillId="0" borderId="0" xfId="0" applyFont="1"/>
    <xf numFmtId="0" fontId="20" fillId="0" borderId="0" xfId="0" applyFont="1"/>
    <xf numFmtId="164" fontId="21" fillId="0" borderId="0" xfId="0" applyNumberFormat="1" applyFont="1"/>
    <xf numFmtId="0" fontId="22" fillId="0" borderId="10" xfId="0" applyFont="1" applyBorder="1"/>
    <xf numFmtId="0" fontId="22" fillId="0" borderId="11" xfId="0" applyFont="1" applyBorder="1"/>
    <xf numFmtId="0" fontId="22" fillId="0" borderId="12" xfId="0" applyFont="1" applyBorder="1" applyAlignment="1">
      <alignment horizontal="left"/>
    </xf>
    <xf numFmtId="0" fontId="22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2" fillId="0" borderId="13" xfId="0" applyFont="1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22" fillId="0" borderId="16" xfId="0" applyFont="1" applyBorder="1"/>
    <xf numFmtId="0" fontId="22" fillId="0" borderId="14" xfId="0" applyFont="1" applyBorder="1"/>
    <xf numFmtId="0" fontId="22" fillId="0" borderId="14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22" fillId="0" borderId="18" xfId="0" applyFont="1" applyBorder="1"/>
    <xf numFmtId="0" fontId="22" fillId="0" borderId="19" xfId="0" applyFont="1" applyBorder="1"/>
    <xf numFmtId="0" fontId="0" fillId="0" borderId="20" xfId="0" applyBorder="1"/>
    <xf numFmtId="0" fontId="0" fillId="0" borderId="18" xfId="0" applyBorder="1"/>
    <xf numFmtId="0" fontId="22" fillId="0" borderId="0" xfId="0" applyFont="1"/>
    <xf numFmtId="0" fontId="24" fillId="0" borderId="18" xfId="0" applyFont="1" applyBorder="1"/>
    <xf numFmtId="0" fontId="24" fillId="0" borderId="19" xfId="0" applyFont="1" applyBorder="1"/>
    <xf numFmtId="0" fontId="23" fillId="0" borderId="18" xfId="0" applyFont="1" applyBorder="1"/>
    <xf numFmtId="0" fontId="22" fillId="0" borderId="20" xfId="0" applyFont="1" applyBorder="1"/>
    <xf numFmtId="0" fontId="0" fillId="0" borderId="19" xfId="0" applyBorder="1"/>
    <xf numFmtId="0" fontId="22" fillId="0" borderId="21" xfId="0" applyFont="1" applyBorder="1"/>
    <xf numFmtId="0" fontId="22" fillId="0" borderId="22" xfId="0" applyFont="1" applyBorder="1"/>
    <xf numFmtId="0" fontId="22" fillId="0" borderId="23" xfId="0" applyFont="1" applyBorder="1"/>
    <xf numFmtId="0" fontId="20" fillId="0" borderId="21" xfId="0" applyFont="1" applyBorder="1"/>
    <xf numFmtId="0" fontId="0" fillId="0" borderId="23" xfId="0" applyBorder="1"/>
    <xf numFmtId="0" fontId="22" fillId="0" borderId="17" xfId="0" applyFont="1" applyBorder="1" applyAlignment="1">
      <alignment horizontal="center"/>
    </xf>
    <xf numFmtId="0" fontId="22" fillId="0" borderId="0" xfId="0" applyFont="1" applyAlignment="1">
      <alignment horizontal="center"/>
    </xf>
    <xf numFmtId="165" fontId="27" fillId="0" borderId="0" xfId="0" applyNumberFormat="1" applyFont="1"/>
    <xf numFmtId="0" fontId="27" fillId="0" borderId="0" xfId="0" applyFont="1" applyAlignment="1">
      <alignment horizontal="center"/>
    </xf>
    <xf numFmtId="0" fontId="28" fillId="0" borderId="0" xfId="0" applyFont="1"/>
    <xf numFmtId="2" fontId="27" fillId="0" borderId="0" xfId="0" applyNumberFormat="1" applyFont="1" applyAlignment="1">
      <alignment horizontal="center"/>
    </xf>
    <xf numFmtId="0" fontId="24" fillId="0" borderId="0" xfId="0" applyFont="1"/>
    <xf numFmtId="0" fontId="23" fillId="0" borderId="0" xfId="0" applyFont="1"/>
    <xf numFmtId="0" fontId="29" fillId="0" borderId="0" xfId="0" applyFont="1"/>
    <xf numFmtId="0" fontId="21" fillId="0" borderId="0" xfId="0" applyFont="1"/>
    <xf numFmtId="0" fontId="22" fillId="0" borderId="12" xfId="0" applyFont="1" applyBorder="1" applyAlignment="1">
      <alignment horizontal="center"/>
    </xf>
    <xf numFmtId="0" fontId="0" fillId="0" borderId="13" xfId="0" applyBorder="1"/>
    <xf numFmtId="0" fontId="22" fillId="0" borderId="18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32" fillId="0" borderId="18" xfId="0" applyFont="1" applyBorder="1" applyAlignment="1">
      <alignment horizontal="center"/>
    </xf>
    <xf numFmtId="2" fontId="33" fillId="0" borderId="20" xfId="0" applyNumberFormat="1" applyFont="1" applyBorder="1" applyAlignment="1">
      <alignment horizontal="right"/>
    </xf>
    <xf numFmtId="2" fontId="22" fillId="0" borderId="20" xfId="0" applyNumberFormat="1" applyFont="1" applyBorder="1"/>
    <xf numFmtId="166" fontId="22" fillId="0" borderId="20" xfId="0" applyNumberFormat="1" applyFont="1" applyBorder="1" applyAlignment="1">
      <alignment horizontal="center"/>
    </xf>
    <xf numFmtId="2" fontId="22" fillId="0" borderId="23" xfId="0" applyNumberFormat="1" applyFont="1" applyBorder="1"/>
    <xf numFmtId="0" fontId="22" fillId="0" borderId="23" xfId="0" applyFont="1" applyBorder="1" applyAlignment="1">
      <alignment horizontal="center"/>
    </xf>
    <xf numFmtId="0" fontId="22" fillId="0" borderId="15" xfId="0" applyFont="1" applyBorder="1"/>
    <xf numFmtId="0" fontId="22" fillId="0" borderId="14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21" xfId="0" applyBorder="1"/>
    <xf numFmtId="2" fontId="22" fillId="0" borderId="21" xfId="0" applyNumberFormat="1" applyFont="1" applyBorder="1" applyAlignment="1">
      <alignment horizontal="right"/>
    </xf>
    <xf numFmtId="2" fontId="22" fillId="18" borderId="21" xfId="0" applyNumberFormat="1" applyFont="1" applyFill="1" applyBorder="1" applyAlignment="1">
      <alignment horizontal="right"/>
    </xf>
    <xf numFmtId="1" fontId="22" fillId="19" borderId="21" xfId="0" applyNumberFormat="1" applyFont="1" applyFill="1" applyBorder="1" applyAlignment="1">
      <alignment horizontal="center"/>
    </xf>
    <xf numFmtId="2" fontId="21" fillId="0" borderId="21" xfId="0" applyNumberFormat="1" applyFont="1" applyBorder="1" applyAlignment="1">
      <alignment horizontal="right"/>
    </xf>
    <xf numFmtId="2" fontId="21" fillId="19" borderId="21" xfId="0" applyNumberFormat="1" applyFont="1" applyFill="1" applyBorder="1" applyAlignment="1">
      <alignment horizontal="right"/>
    </xf>
    <xf numFmtId="0" fontId="22" fillId="0" borderId="24" xfId="0" applyFont="1" applyBorder="1"/>
    <xf numFmtId="2" fontId="22" fillId="0" borderId="18" xfId="0" applyNumberFormat="1" applyFont="1" applyBorder="1"/>
    <xf numFmtId="2" fontId="22" fillId="0" borderId="14" xfId="0" applyNumberFormat="1" applyFont="1" applyBorder="1"/>
    <xf numFmtId="2" fontId="22" fillId="0" borderId="10" xfId="0" applyNumberFormat="1" applyFont="1" applyBorder="1"/>
    <xf numFmtId="2" fontId="37" fillId="0" borderId="20" xfId="0" applyNumberFormat="1" applyFont="1" applyBorder="1"/>
    <xf numFmtId="2" fontId="37" fillId="0" borderId="18" xfId="0" applyNumberFormat="1" applyFont="1" applyBorder="1"/>
    <xf numFmtId="2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24" fillId="0" borderId="0" xfId="0" applyNumberFormat="1" applyFont="1" applyAlignment="1">
      <alignment horizontal="center"/>
    </xf>
    <xf numFmtId="0" fontId="38" fillId="0" borderId="0" xfId="0" applyFont="1"/>
    <xf numFmtId="4" fontId="24" fillId="0" borderId="25" xfId="0" applyNumberFormat="1" applyFont="1" applyBorder="1" applyAlignment="1">
      <alignment horizontal="center" vertical="center" wrapText="1"/>
    </xf>
    <xf numFmtId="4" fontId="34" fillId="0" borderId="25" xfId="0" applyNumberFormat="1" applyFont="1" applyBorder="1" applyAlignment="1">
      <alignment horizontal="center" vertical="center" wrapText="1"/>
    </xf>
    <xf numFmtId="4" fontId="34" fillId="20" borderId="25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3" fontId="0" fillId="0" borderId="0" xfId="0" applyNumberFormat="1"/>
    <xf numFmtId="3" fontId="35" fillId="0" borderId="0" xfId="0" applyNumberFormat="1" applyFont="1"/>
    <xf numFmtId="4" fontId="0" fillId="0" borderId="25" xfId="0" applyNumberFormat="1" applyBorder="1" applyAlignment="1">
      <alignment horizontal="center" vertical="center" wrapText="1"/>
    </xf>
    <xf numFmtId="0" fontId="0" fillId="0" borderId="25" xfId="0" applyBorder="1"/>
    <xf numFmtId="4" fontId="24" fillId="0" borderId="25" xfId="0" applyNumberFormat="1" applyFont="1" applyBorder="1" applyAlignment="1">
      <alignment horizontal="center"/>
    </xf>
    <xf numFmtId="4" fontId="24" fillId="0" borderId="0" xfId="0" applyNumberFormat="1" applyFont="1" applyAlignment="1">
      <alignment horizontal="center"/>
    </xf>
    <xf numFmtId="4" fontId="36" fillId="0" borderId="0" xfId="0" applyNumberFormat="1" applyFont="1" applyAlignment="1">
      <alignment horizontal="center"/>
    </xf>
    <xf numFmtId="3" fontId="24" fillId="0" borderId="25" xfId="0" applyNumberFormat="1" applyFont="1" applyBorder="1" applyAlignment="1">
      <alignment horizontal="center"/>
    </xf>
    <xf numFmtId="2" fontId="35" fillId="0" borderId="0" xfId="0" applyNumberFormat="1" applyFont="1"/>
    <xf numFmtId="4" fontId="0" fillId="0" borderId="0" xfId="0" applyNumberFormat="1"/>
    <xf numFmtId="9" fontId="0" fillId="0" borderId="0" xfId="43" applyFont="1"/>
    <xf numFmtId="4" fontId="39" fillId="0" borderId="25" xfId="0" applyNumberFormat="1" applyFont="1" applyBorder="1" applyAlignment="1">
      <alignment horizontal="center" vertical="center" wrapText="1"/>
    </xf>
    <xf numFmtId="4" fontId="39" fillId="20" borderId="25" xfId="0" applyNumberFormat="1" applyFont="1" applyFill="1" applyBorder="1" applyAlignment="1">
      <alignment horizontal="center" vertical="center" wrapText="1"/>
    </xf>
    <xf numFmtId="167" fontId="1" fillId="0" borderId="0" xfId="28" applyNumberFormat="1"/>
    <xf numFmtId="3" fontId="24" fillId="0" borderId="0" xfId="0" applyNumberFormat="1" applyFont="1" applyAlignment="1">
      <alignment horizontal="center"/>
    </xf>
    <xf numFmtId="3" fontId="34" fillId="0" borderId="25" xfId="0" applyNumberFormat="1" applyFon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34" fillId="20" borderId="25" xfId="0" applyNumberFormat="1" applyFont="1" applyFill="1" applyBorder="1" applyAlignment="1">
      <alignment horizontal="center" vertical="center" wrapText="1"/>
    </xf>
    <xf numFmtId="4" fontId="24" fillId="0" borderId="26" xfId="0" applyNumberFormat="1" applyFont="1" applyBorder="1" applyAlignment="1">
      <alignment horizontal="center" vertical="center" wrapText="1"/>
    </xf>
    <xf numFmtId="4" fontId="24" fillId="0" borderId="27" xfId="0" applyNumberFormat="1" applyFont="1" applyBorder="1" applyAlignment="1">
      <alignment horizontal="center" vertical="center" wrapText="1"/>
    </xf>
    <xf numFmtId="9" fontId="34" fillId="20" borderId="25" xfId="43" applyFont="1" applyFill="1" applyBorder="1" applyAlignment="1">
      <alignment horizontal="center" vertical="center" wrapText="1"/>
    </xf>
    <xf numFmtId="9" fontId="24" fillId="0" borderId="25" xfId="43" applyFont="1" applyBorder="1" applyAlignment="1">
      <alignment horizontal="center"/>
    </xf>
    <xf numFmtId="0" fontId="24" fillId="0" borderId="31" xfId="0" applyFont="1" applyBorder="1"/>
    <xf numFmtId="0" fontId="0" fillId="0" borderId="32" xfId="0" applyBorder="1"/>
    <xf numFmtId="3" fontId="24" fillId="21" borderId="32" xfId="0" applyNumberFormat="1" applyFont="1" applyFill="1" applyBorder="1"/>
    <xf numFmtId="3" fontId="24" fillId="21" borderId="33" xfId="0" applyNumberFormat="1" applyFont="1" applyFill="1" applyBorder="1"/>
    <xf numFmtId="4" fontId="29" fillId="0" borderId="0" xfId="0" applyNumberFormat="1" applyFont="1" applyAlignment="1">
      <alignment horizontal="center" vertical="center" wrapText="1"/>
    </xf>
    <xf numFmtId="4" fontId="44" fillId="0" borderId="0" xfId="0" applyNumberFormat="1" applyFont="1" applyAlignment="1">
      <alignment horizontal="center"/>
    </xf>
    <xf numFmtId="4" fontId="23" fillId="0" borderId="0" xfId="0" applyNumberFormat="1" applyFont="1" applyAlignment="1">
      <alignment horizontal="center"/>
    </xf>
    <xf numFmtId="0" fontId="49" fillId="0" borderId="39" xfId="0" applyFont="1" applyBorder="1" applyAlignment="1">
      <alignment horizontal="center"/>
    </xf>
    <xf numFmtId="4" fontId="49" fillId="20" borderId="25" xfId="0" applyNumberFormat="1" applyFont="1" applyFill="1" applyBorder="1" applyAlignment="1">
      <alignment horizontal="center" vertical="center" wrapText="1"/>
    </xf>
    <xf numFmtId="0" fontId="50" fillId="0" borderId="39" xfId="0" applyFont="1" applyBorder="1" applyAlignment="1">
      <alignment horizontal="center" vertical="center"/>
    </xf>
    <xf numFmtId="0" fontId="50" fillId="0" borderId="36" xfId="0" applyFont="1" applyBorder="1" applyAlignment="1">
      <alignment horizontal="center" vertical="center"/>
    </xf>
    <xf numFmtId="0" fontId="52" fillId="0" borderId="40" xfId="0" applyFont="1" applyBorder="1" applyAlignment="1">
      <alignment horizontal="center" vertical="center"/>
    </xf>
    <xf numFmtId="0" fontId="53" fillId="0" borderId="39" xfId="0" applyFont="1" applyBorder="1" applyAlignment="1">
      <alignment horizontal="center"/>
    </xf>
    <xf numFmtId="0" fontId="53" fillId="0" borderId="25" xfId="0" applyFont="1" applyBorder="1" applyAlignment="1">
      <alignment horizontal="center"/>
    </xf>
    <xf numFmtId="0" fontId="53" fillId="0" borderId="28" xfId="0" applyFont="1" applyBorder="1" applyAlignment="1">
      <alignment horizontal="center" vertical="center"/>
    </xf>
    <xf numFmtId="2" fontId="54" fillId="0" borderId="25" xfId="0" applyNumberFormat="1" applyFont="1" applyBorder="1" applyAlignment="1">
      <alignment horizontal="center"/>
    </xf>
    <xf numFmtId="4" fontId="54" fillId="0" borderId="25" xfId="0" applyNumberFormat="1" applyFont="1" applyBorder="1" applyAlignment="1">
      <alignment horizontal="center" vertical="center" wrapText="1"/>
    </xf>
    <xf numFmtId="4" fontId="53" fillId="20" borderId="25" xfId="0" applyNumberFormat="1" applyFont="1" applyFill="1" applyBorder="1" applyAlignment="1">
      <alignment horizontal="center" vertical="center" wrapText="1"/>
    </xf>
    <xf numFmtId="4" fontId="53" fillId="20" borderId="28" xfId="0" applyNumberFormat="1" applyFont="1" applyFill="1" applyBorder="1" applyAlignment="1">
      <alignment horizontal="center" vertical="center" wrapText="1"/>
    </xf>
    <xf numFmtId="4" fontId="49" fillId="20" borderId="28" xfId="0" applyNumberFormat="1" applyFont="1" applyFill="1" applyBorder="1" applyAlignment="1">
      <alignment horizontal="center" vertical="center" wrapText="1"/>
    </xf>
    <xf numFmtId="4" fontId="51" fillId="0" borderId="28" xfId="0" applyNumberFormat="1" applyFont="1" applyBorder="1" applyAlignment="1">
      <alignment horizontal="center"/>
    </xf>
    <xf numFmtId="4" fontId="51" fillId="0" borderId="29" xfId="0" applyNumberFormat="1" applyFont="1" applyBorder="1" applyAlignment="1">
      <alignment horizontal="center"/>
    </xf>
    <xf numFmtId="0" fontId="41" fillId="0" borderId="41" xfId="0" applyFont="1" applyBorder="1" applyAlignment="1">
      <alignment horizontal="center"/>
    </xf>
    <xf numFmtId="0" fontId="29" fillId="0" borderId="27" xfId="0" applyFont="1" applyBorder="1" applyAlignment="1">
      <alignment horizontal="center"/>
    </xf>
    <xf numFmtId="4" fontId="0" fillId="0" borderId="43" xfId="0" applyNumberFormat="1" applyBorder="1" applyAlignment="1">
      <alignment horizontal="center" vertical="center" wrapText="1"/>
    </xf>
    <xf numFmtId="2" fontId="43" fillId="0" borderId="27" xfId="0" applyNumberFormat="1" applyFont="1" applyBorder="1" applyAlignment="1">
      <alignment horizontal="center"/>
    </xf>
    <xf numFmtId="4" fontId="43" fillId="0" borderId="27" xfId="0" applyNumberFormat="1" applyFont="1" applyBorder="1" applyAlignment="1">
      <alignment horizontal="center" vertical="center" wrapText="1"/>
    </xf>
    <xf numFmtId="4" fontId="0" fillId="20" borderId="27" xfId="0" applyNumberFormat="1" applyFill="1" applyBorder="1" applyAlignment="1">
      <alignment horizontal="center" vertical="center" wrapText="1"/>
    </xf>
    <xf numFmtId="4" fontId="34" fillId="20" borderId="27" xfId="0" applyNumberFormat="1" applyFont="1" applyFill="1" applyBorder="1" applyAlignment="1">
      <alignment horizontal="center" vertical="center" wrapText="1"/>
    </xf>
    <xf numFmtId="4" fontId="34" fillId="20" borderId="37" xfId="0" applyNumberFormat="1" applyFont="1" applyFill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/>
    </xf>
    <xf numFmtId="0" fontId="47" fillId="0" borderId="48" xfId="0" applyFont="1" applyBorder="1" applyAlignment="1">
      <alignment horizontal="center" vertical="center"/>
    </xf>
    <xf numFmtId="0" fontId="46" fillId="0" borderId="40" xfId="0" applyFont="1" applyBorder="1" applyAlignment="1">
      <alignment horizontal="center" vertical="center"/>
    </xf>
    <xf numFmtId="0" fontId="46" fillId="0" borderId="53" xfId="0" applyFont="1" applyBorder="1" applyAlignment="1">
      <alignment horizontal="center" vertical="center"/>
    </xf>
    <xf numFmtId="4" fontId="56" fillId="0" borderId="0" xfId="0" applyNumberFormat="1" applyFont="1" applyAlignment="1">
      <alignment horizontal="center" vertical="center" wrapText="1"/>
    </xf>
    <xf numFmtId="4" fontId="55" fillId="0" borderId="0" xfId="0" applyNumberFormat="1" applyFont="1" applyAlignment="1">
      <alignment horizontal="center"/>
    </xf>
    <xf numFmtId="4" fontId="24" fillId="20" borderId="37" xfId="0" applyNumberFormat="1" applyFont="1" applyFill="1" applyBorder="1" applyAlignment="1">
      <alignment horizontal="center" vertical="center" wrapText="1"/>
    </xf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38" fillId="0" borderId="58" xfId="0" applyFont="1" applyBorder="1"/>
    <xf numFmtId="0" fontId="52" fillId="0" borderId="61" xfId="0" applyFont="1" applyBorder="1" applyAlignment="1">
      <alignment horizontal="center" vertical="center"/>
    </xf>
    <xf numFmtId="4" fontId="56" fillId="0" borderId="58" xfId="0" applyNumberFormat="1" applyFont="1" applyBorder="1" applyAlignment="1">
      <alignment horizontal="center" vertical="center" wrapText="1"/>
    </xf>
    <xf numFmtId="0" fontId="0" fillId="0" borderId="59" xfId="0" applyBorder="1"/>
    <xf numFmtId="0" fontId="39" fillId="0" borderId="62" xfId="0" applyFont="1" applyBorder="1"/>
    <xf numFmtId="0" fontId="39" fillId="0" borderId="54" xfId="0" applyFont="1" applyBorder="1"/>
    <xf numFmtId="0" fontId="0" fillId="0" borderId="54" xfId="0" applyBorder="1"/>
    <xf numFmtId="0" fontId="0" fillId="0" borderId="60" xfId="0" applyBorder="1"/>
    <xf numFmtId="0" fontId="39" fillId="0" borderId="60" xfId="0" applyFont="1" applyBorder="1"/>
    <xf numFmtId="4" fontId="40" fillId="20" borderId="25" xfId="0" applyNumberFormat="1" applyFont="1" applyFill="1" applyBorder="1" applyAlignment="1">
      <alignment horizontal="center"/>
    </xf>
    <xf numFmtId="0" fontId="57" fillId="0" borderId="0" xfId="0" applyFont="1"/>
    <xf numFmtId="2" fontId="58" fillId="20" borderId="25" xfId="0" applyNumberFormat="1" applyFont="1" applyFill="1" applyBorder="1" applyAlignment="1">
      <alignment horizontal="center" vertical="center"/>
    </xf>
    <xf numFmtId="0" fontId="49" fillId="0" borderId="34" xfId="0" applyFont="1" applyBorder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45" fillId="0" borderId="0" xfId="0" applyFont="1" applyAlignment="1">
      <alignment horizontal="right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2" fontId="59" fillId="2" borderId="18" xfId="0" applyNumberFormat="1" applyFont="1" applyFill="1" applyBorder="1" applyAlignment="1">
      <alignment horizontal="center" vertical="top"/>
    </xf>
    <xf numFmtId="0" fontId="59" fillId="0" borderId="18" xfId="0" applyFont="1" applyBorder="1" applyAlignment="1">
      <alignment horizontal="center"/>
    </xf>
    <xf numFmtId="4" fontId="60" fillId="20" borderId="25" xfId="0" applyNumberFormat="1" applyFont="1" applyFill="1" applyBorder="1" applyAlignment="1">
      <alignment horizontal="center" vertical="center" wrapText="1"/>
    </xf>
    <xf numFmtId="0" fontId="59" fillId="0" borderId="19" xfId="0" applyFont="1" applyBorder="1" applyAlignment="1">
      <alignment horizontal="center"/>
    </xf>
    <xf numFmtId="0" fontId="38" fillId="0" borderId="63" xfId="0" applyFont="1" applyBorder="1"/>
    <xf numFmtId="0" fontId="38" fillId="0" borderId="63" xfId="0" applyFont="1" applyBorder="1" applyAlignment="1">
      <alignment horizontal="center" vertical="center"/>
    </xf>
    <xf numFmtId="0" fontId="57" fillId="0" borderId="63" xfId="0" applyFont="1" applyBorder="1" applyAlignment="1">
      <alignment horizontal="center" vertical="center"/>
    </xf>
    <xf numFmtId="0" fontId="41" fillId="0" borderId="63" xfId="0" applyFont="1" applyBorder="1" applyAlignment="1">
      <alignment horizontal="center" vertical="center"/>
    </xf>
    <xf numFmtId="0" fontId="0" fillId="0" borderId="63" xfId="0" applyBorder="1" applyAlignment="1">
      <alignment horizontal="center" wrapText="1"/>
    </xf>
    <xf numFmtId="0" fontId="45" fillId="0" borderId="63" xfId="0" applyFont="1" applyBorder="1" applyAlignment="1">
      <alignment horizontal="right"/>
    </xf>
    <xf numFmtId="0" fontId="41" fillId="0" borderId="43" xfId="0" applyFont="1" applyBorder="1" applyAlignment="1">
      <alignment horizontal="center"/>
    </xf>
    <xf numFmtId="0" fontId="41" fillId="0" borderId="30" xfId="0" applyFont="1" applyBorder="1" applyAlignment="1">
      <alignment horizontal="center" vertical="center" textRotation="255"/>
    </xf>
    <xf numFmtId="1" fontId="53" fillId="0" borderId="39" xfId="0" applyNumberFormat="1" applyFont="1" applyBorder="1" applyAlignment="1">
      <alignment horizontal="center"/>
    </xf>
    <xf numFmtId="0" fontId="24" fillId="0" borderId="45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0" fontId="41" fillId="0" borderId="26" xfId="0" applyFont="1" applyBorder="1" applyAlignment="1">
      <alignment horizontal="center" vertical="center" textRotation="255"/>
    </xf>
    <xf numFmtId="0" fontId="41" fillId="0" borderId="30" xfId="0" applyFont="1" applyBorder="1" applyAlignment="1">
      <alignment horizontal="center" vertical="center" textRotation="255"/>
    </xf>
    <xf numFmtId="0" fontId="41" fillId="0" borderId="27" xfId="0" applyFont="1" applyBorder="1" applyAlignment="1">
      <alignment horizontal="center" vertical="center" textRotation="255"/>
    </xf>
    <xf numFmtId="4" fontId="42" fillId="0" borderId="45" xfId="0" applyNumberFormat="1" applyFont="1" applyBorder="1" applyAlignment="1">
      <alignment horizontal="center" vertical="center" wrapText="1"/>
    </xf>
    <xf numFmtId="4" fontId="42" fillId="0" borderId="50" xfId="0" applyNumberFormat="1" applyFont="1" applyBorder="1" applyAlignment="1">
      <alignment horizontal="center" vertical="center" wrapText="1"/>
    </xf>
    <xf numFmtId="0" fontId="61" fillId="0" borderId="26" xfId="0" applyFont="1" applyBorder="1" applyAlignment="1">
      <alignment horizontal="center" vertical="center" textRotation="255"/>
    </xf>
    <xf numFmtId="0" fontId="61" fillId="0" borderId="30" xfId="0" applyFont="1" applyBorder="1" applyAlignment="1">
      <alignment horizontal="center" vertical="center" textRotation="255"/>
    </xf>
    <xf numFmtId="0" fontId="58" fillId="20" borderId="25" xfId="0" applyFont="1" applyFill="1" applyBorder="1" applyAlignment="1">
      <alignment horizontal="center" vertical="center" wrapText="1"/>
    </xf>
    <xf numFmtId="10" fontId="58" fillId="20" borderId="25" xfId="0" applyNumberFormat="1" applyFont="1" applyFill="1" applyBorder="1" applyAlignment="1">
      <alignment horizontal="center" vertical="center"/>
    </xf>
    <xf numFmtId="0" fontId="21" fillId="0" borderId="42" xfId="0" applyFont="1" applyBorder="1"/>
    <xf numFmtId="0" fontId="21" fillId="0" borderId="34" xfId="0" applyFont="1" applyBorder="1"/>
    <xf numFmtId="0" fontId="21" fillId="0" borderId="29" xfId="0" applyFont="1" applyBorder="1"/>
    <xf numFmtId="0" fontId="49" fillId="0" borderId="28" xfId="0" applyFont="1" applyBorder="1" applyAlignment="1">
      <alignment horizontal="center"/>
    </xf>
    <xf numFmtId="0" fontId="49" fillId="0" borderId="34" xfId="0" applyFont="1" applyBorder="1" applyAlignment="1">
      <alignment horizontal="center"/>
    </xf>
    <xf numFmtId="0" fontId="49" fillId="0" borderId="29" xfId="0" applyFont="1" applyBorder="1" applyAlignment="1">
      <alignment horizontal="center"/>
    </xf>
    <xf numFmtId="0" fontId="48" fillId="0" borderId="0" xfId="0" applyFont="1" applyAlignment="1">
      <alignment horizontal="center"/>
    </xf>
    <xf numFmtId="0" fontId="23" fillId="0" borderId="58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45" fillId="0" borderId="0" xfId="0" applyFont="1" applyAlignment="1">
      <alignment horizontal="right"/>
    </xf>
    <xf numFmtId="0" fontId="45" fillId="0" borderId="59" xfId="0" applyFont="1" applyBorder="1" applyAlignment="1">
      <alignment horizontal="right"/>
    </xf>
    <xf numFmtId="4" fontId="24" fillId="0" borderId="44" xfId="0" applyNumberFormat="1" applyFont="1" applyBorder="1" applyAlignment="1">
      <alignment horizontal="center" vertical="center" wrapText="1"/>
    </xf>
    <xf numFmtId="0" fontId="0" fillId="0" borderId="49" xfId="0" applyBorder="1"/>
    <xf numFmtId="4" fontId="24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4" fontId="42" fillId="0" borderId="47" xfId="0" applyNumberFormat="1" applyFont="1" applyBorder="1" applyAlignment="1">
      <alignment horizontal="center" vertical="center" wrapText="1"/>
    </xf>
    <xf numFmtId="4" fontId="42" fillId="0" borderId="52" xfId="0" applyNumberFormat="1" applyFont="1" applyBorder="1" applyAlignment="1">
      <alignment horizontal="center" vertical="center" wrapText="1"/>
    </xf>
    <xf numFmtId="0" fontId="46" fillId="0" borderId="38" xfId="0" applyFont="1" applyBorder="1" applyAlignment="1">
      <alignment horizontal="center" vertical="center" wrapText="1"/>
    </xf>
    <xf numFmtId="0" fontId="46" fillId="0" borderId="35" xfId="0" applyFont="1" applyBorder="1" applyAlignment="1">
      <alignment horizontal="center" vertical="center" wrapText="1"/>
    </xf>
    <xf numFmtId="4" fontId="42" fillId="0" borderId="46" xfId="0" applyNumberFormat="1" applyFont="1" applyBorder="1" applyAlignment="1">
      <alignment horizontal="center" vertical="center" wrapText="1"/>
    </xf>
    <xf numFmtId="4" fontId="42" fillId="0" borderId="51" xfId="0" applyNumberFormat="1" applyFont="1" applyBorder="1" applyAlignment="1">
      <alignment horizontal="center" vertical="center" wrapText="1"/>
    </xf>
    <xf numFmtId="0" fontId="21" fillId="0" borderId="21" xfId="0" applyFont="1" applyBorder="1"/>
    <xf numFmtId="4" fontId="24" fillId="0" borderId="26" xfId="0" applyNumberFormat="1" applyFont="1" applyBorder="1" applyAlignment="1">
      <alignment horizontal="center" vertical="center" wrapText="1"/>
    </xf>
    <xf numFmtId="4" fontId="24" fillId="0" borderId="27" xfId="0" applyNumberFormat="1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/>
    </xf>
    <xf numFmtId="0" fontId="38" fillId="0" borderId="29" xfId="0" applyFont="1" applyBorder="1" applyAlignment="1">
      <alignment horizontal="center"/>
    </xf>
    <xf numFmtId="4" fontId="24" fillId="0" borderId="30" xfId="0" applyNumberFormat="1" applyFont="1" applyBorder="1" applyAlignment="1">
      <alignment horizontal="center" vertical="center" wrapText="1"/>
    </xf>
    <xf numFmtId="4" fontId="35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4" fontId="24" fillId="0" borderId="25" xfId="0" applyNumberFormat="1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/>
    </xf>
    <xf numFmtId="165" fontId="0" fillId="0" borderId="0" xfId="0" applyNumberFormat="1" applyAlignment="1">
      <alignment horizontal="center" vertical="center"/>
    </xf>
    <xf numFmtId="0" fontId="35" fillId="0" borderId="0" xfId="0" applyFont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3" builtinId="5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5000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950E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11</xdr:col>
      <xdr:colOff>838200</xdr:colOff>
      <xdr:row>73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14897100"/>
          <a:ext cx="9820275" cy="2047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90"/>
  <sheetViews>
    <sheetView topLeftCell="B1" workbookViewId="0"/>
  </sheetViews>
  <sheetFormatPr defaultColWidth="8.85546875" defaultRowHeight="12.75" x14ac:dyDescent="0.2"/>
  <cols>
    <col min="1" max="1" width="0" hidden="1" customWidth="1"/>
    <col min="2" max="2" width="13" customWidth="1"/>
    <col min="3" max="3" width="23.140625" customWidth="1"/>
    <col min="4" max="4" width="16.7109375" customWidth="1"/>
    <col min="5" max="5" width="15.85546875" customWidth="1"/>
    <col min="6" max="6" width="14.85546875" customWidth="1"/>
    <col min="7" max="7" width="18.42578125" customWidth="1"/>
    <col min="8" max="8" width="16.42578125" customWidth="1"/>
    <col min="9" max="9" width="17.85546875" customWidth="1"/>
    <col min="10" max="10" width="18.5703125" customWidth="1"/>
    <col min="11" max="11" width="18" customWidth="1"/>
    <col min="12" max="13" width="13.5703125" customWidth="1"/>
    <col min="14" max="14" width="13.140625" customWidth="1"/>
    <col min="15" max="15" width="12.140625" customWidth="1"/>
    <col min="16" max="16" width="15" customWidth="1"/>
    <col min="17" max="17" width="13" customWidth="1"/>
  </cols>
  <sheetData>
    <row r="2" spans="2:14" ht="17.649999999999999" customHeight="1" x14ac:dyDescent="0.3">
      <c r="G2" s="1" t="s">
        <v>0</v>
      </c>
    </row>
    <row r="3" spans="2:14" ht="17.649999999999999" customHeight="1" x14ac:dyDescent="0.3">
      <c r="G3" s="1"/>
    </row>
    <row r="4" spans="2:14" ht="19.5" customHeight="1" x14ac:dyDescent="0.3">
      <c r="B4" s="1" t="s">
        <v>61</v>
      </c>
      <c r="C4" s="2"/>
      <c r="D4" s="2"/>
      <c r="E4" s="2"/>
      <c r="F4" s="2"/>
      <c r="G4" s="2"/>
      <c r="H4" s="2"/>
      <c r="I4" s="2"/>
      <c r="J4" s="1"/>
      <c r="L4" s="23" t="s">
        <v>76</v>
      </c>
      <c r="M4" s="3"/>
    </row>
    <row r="5" spans="2:14" ht="14.85" customHeight="1" x14ac:dyDescent="0.3">
      <c r="B5" s="1"/>
      <c r="C5" s="2"/>
      <c r="D5" s="2"/>
      <c r="E5" s="2"/>
      <c r="F5" s="2"/>
      <c r="G5" s="2"/>
      <c r="H5" s="2"/>
      <c r="I5" s="2"/>
      <c r="J5" s="1"/>
      <c r="M5" s="3"/>
    </row>
    <row r="6" spans="2:14" ht="17.850000000000001" customHeight="1" x14ac:dyDescent="0.3">
      <c r="B6" s="1"/>
      <c r="C6" s="4" t="s">
        <v>1</v>
      </c>
      <c r="D6" s="5"/>
      <c r="E6" s="6" t="s">
        <v>2</v>
      </c>
      <c r="F6" s="7" t="s">
        <v>3</v>
      </c>
      <c r="G6" s="7" t="s">
        <v>4</v>
      </c>
      <c r="H6" s="7" t="s">
        <v>5</v>
      </c>
      <c r="I6" s="7" t="s">
        <v>3</v>
      </c>
      <c r="J6" s="8" t="s">
        <v>6</v>
      </c>
      <c r="K6" s="9" t="s">
        <v>7</v>
      </c>
      <c r="L6" s="10"/>
    </row>
    <row r="7" spans="2:14" ht="17.100000000000001" customHeight="1" thickBot="1" x14ac:dyDescent="0.35">
      <c r="B7" s="1"/>
      <c r="C7" s="11"/>
      <c r="D7" s="12"/>
      <c r="E7" s="13" t="s">
        <v>8</v>
      </c>
      <c r="F7" s="14" t="s">
        <v>9</v>
      </c>
      <c r="G7" s="15" t="s">
        <v>8</v>
      </c>
      <c r="H7" s="15" t="s">
        <v>8</v>
      </c>
      <c r="I7" s="14" t="s">
        <v>9</v>
      </c>
      <c r="J7" s="16" t="s">
        <v>8</v>
      </c>
      <c r="K7" s="17"/>
      <c r="L7" s="18"/>
    </row>
    <row r="8" spans="2:14" ht="17.850000000000001" customHeight="1" x14ac:dyDescent="0.3">
      <c r="B8" s="1"/>
      <c r="C8" s="19" t="s">
        <v>10</v>
      </c>
      <c r="D8" s="20"/>
      <c r="E8" s="21"/>
      <c r="F8" s="22"/>
      <c r="G8" s="22"/>
      <c r="H8" s="19">
        <v>7647.86</v>
      </c>
      <c r="I8" s="19">
        <v>1</v>
      </c>
      <c r="J8" s="19">
        <f>PRODUCT(H8,I8)</f>
        <v>7647.86</v>
      </c>
      <c r="K8" s="23">
        <f>SUM(G8+J8)</f>
        <v>7647.86</v>
      </c>
      <c r="L8" s="21"/>
    </row>
    <row r="9" spans="2:14" ht="17.850000000000001" customHeight="1" x14ac:dyDescent="0.3">
      <c r="B9" s="1"/>
      <c r="C9" s="24" t="s">
        <v>60</v>
      </c>
      <c r="D9" s="25"/>
      <c r="E9" s="21"/>
      <c r="F9" s="22"/>
      <c r="G9" s="22"/>
      <c r="H9" s="19"/>
      <c r="I9" s="19"/>
      <c r="J9" s="19"/>
      <c r="K9" s="23"/>
      <c r="L9" s="21"/>
    </row>
    <row r="10" spans="2:14" ht="14.1" customHeight="1" x14ac:dyDescent="0.3">
      <c r="B10" s="1"/>
      <c r="C10" s="24" t="s">
        <v>70</v>
      </c>
      <c r="D10" s="25"/>
      <c r="E10" s="21"/>
      <c r="F10" s="22"/>
      <c r="G10" s="22"/>
      <c r="H10" s="22"/>
      <c r="I10" s="22"/>
      <c r="J10" s="22"/>
      <c r="L10" s="21"/>
    </row>
    <row r="11" spans="2:14" ht="18.600000000000001" customHeight="1" x14ac:dyDescent="0.3">
      <c r="B11" s="1"/>
      <c r="C11" s="26" t="s">
        <v>11</v>
      </c>
      <c r="D11" s="20"/>
      <c r="E11" s="27">
        <f>E52+E85+E113+E145+E163+E186</f>
        <v>47147.29</v>
      </c>
      <c r="F11" s="19">
        <v>9</v>
      </c>
      <c r="G11" s="19">
        <f>PRODUCT(E11,F11)</f>
        <v>424325.61</v>
      </c>
      <c r="H11" s="19">
        <f>1807.81+1807.81+1832.47+1662.27+1024.36+1181.34</f>
        <v>9316.06</v>
      </c>
      <c r="I11" s="19">
        <v>9</v>
      </c>
      <c r="J11" s="19">
        <f>PRODUCT(H11,I11)</f>
        <v>83844.539999999994</v>
      </c>
      <c r="K11" s="23">
        <f>SUM(G11+J11)</f>
        <v>508170.14999999997</v>
      </c>
      <c r="L11" s="21"/>
      <c r="N11">
        <f>900*9</f>
        <v>8100</v>
      </c>
    </row>
    <row r="12" spans="2:14" ht="18.75" customHeight="1" x14ac:dyDescent="0.3">
      <c r="B12" s="1"/>
      <c r="C12" s="25" t="s">
        <v>44</v>
      </c>
      <c r="D12" s="20"/>
      <c r="E12" s="21"/>
      <c r="F12" s="22"/>
      <c r="G12" s="22"/>
      <c r="H12" s="22"/>
      <c r="I12" s="22"/>
      <c r="J12" s="22"/>
      <c r="L12" s="21"/>
    </row>
    <row r="13" spans="2:14" ht="14.1" customHeight="1" x14ac:dyDescent="0.3">
      <c r="B13" s="1"/>
      <c r="C13" s="19"/>
      <c r="D13" s="20"/>
      <c r="E13" s="21"/>
      <c r="F13" s="22"/>
      <c r="G13" s="22"/>
      <c r="H13" s="22"/>
      <c r="I13" s="22"/>
      <c r="J13" s="22"/>
      <c r="K13" s="23"/>
      <c r="L13" s="21"/>
    </row>
    <row r="14" spans="2:14" ht="17.649999999999999" customHeight="1" x14ac:dyDescent="0.3">
      <c r="B14" s="1"/>
      <c r="C14" s="19" t="s">
        <v>12</v>
      </c>
      <c r="D14" s="20"/>
      <c r="E14" s="21"/>
      <c r="F14" s="22"/>
      <c r="G14" s="22"/>
      <c r="H14" s="19">
        <v>4720.54</v>
      </c>
      <c r="I14" s="19">
        <v>1</v>
      </c>
      <c r="J14" s="19">
        <f>PRODUCT(H14,I14)</f>
        <v>4720.54</v>
      </c>
      <c r="K14" s="23">
        <f>SUM(G14+J14)</f>
        <v>4720.54</v>
      </c>
      <c r="L14" s="21"/>
    </row>
    <row r="15" spans="2:14" ht="19.5" customHeight="1" x14ac:dyDescent="0.3">
      <c r="B15" s="1"/>
      <c r="C15" s="24" t="s">
        <v>72</v>
      </c>
      <c r="D15" s="25"/>
      <c r="E15" s="21"/>
      <c r="F15" s="22"/>
      <c r="G15" s="22"/>
      <c r="H15" s="22"/>
      <c r="I15" s="22"/>
      <c r="J15" s="22"/>
      <c r="L15" s="21"/>
    </row>
    <row r="16" spans="2:14" ht="16.7" customHeight="1" x14ac:dyDescent="0.3">
      <c r="B16" s="1"/>
      <c r="C16" s="24" t="s">
        <v>71</v>
      </c>
      <c r="D16" s="25"/>
      <c r="E16" s="21"/>
      <c r="F16" s="22"/>
      <c r="G16" s="22"/>
      <c r="H16" s="22"/>
      <c r="I16" s="22"/>
      <c r="J16" s="22"/>
      <c r="L16" s="21"/>
    </row>
    <row r="17" spans="1:15" ht="17.649999999999999" customHeight="1" x14ac:dyDescent="0.3">
      <c r="B17" s="1"/>
      <c r="C17" s="24"/>
      <c r="D17" s="25"/>
      <c r="E17" s="21"/>
      <c r="F17" s="22"/>
      <c r="G17" s="22"/>
      <c r="H17" s="22"/>
      <c r="I17" s="22"/>
      <c r="J17" s="22"/>
      <c r="L17" s="21"/>
    </row>
    <row r="18" spans="1:15" ht="17.649999999999999" customHeight="1" x14ac:dyDescent="0.3">
      <c r="B18" s="1"/>
      <c r="C18" s="24"/>
      <c r="D18" s="25"/>
      <c r="E18" s="21"/>
      <c r="F18" s="22"/>
      <c r="G18" s="22"/>
      <c r="H18" s="22"/>
      <c r="I18" s="22"/>
      <c r="J18" s="22"/>
      <c r="L18" s="21"/>
    </row>
    <row r="19" spans="1:15" ht="15.95" customHeight="1" x14ac:dyDescent="0.3">
      <c r="B19" s="1"/>
      <c r="C19" s="28"/>
      <c r="D19" s="28"/>
      <c r="E19" s="21"/>
      <c r="F19" s="22"/>
      <c r="G19" s="22"/>
      <c r="H19" s="19"/>
      <c r="I19" s="22"/>
      <c r="J19" s="22"/>
      <c r="K19" s="20"/>
      <c r="L19" s="21"/>
    </row>
    <row r="20" spans="1:15" ht="17.850000000000001" customHeight="1" x14ac:dyDescent="0.3">
      <c r="B20" s="1"/>
      <c r="C20" s="29" t="s">
        <v>13</v>
      </c>
      <c r="D20" s="30"/>
      <c r="E20" s="31">
        <f>SUM(E11:E19)</f>
        <v>47147.29</v>
      </c>
      <c r="F20" s="32"/>
      <c r="G20" s="29">
        <f>SUM(G8:G19)</f>
        <v>424325.61</v>
      </c>
      <c r="H20" s="32"/>
      <c r="I20" s="32"/>
      <c r="J20" s="29">
        <f>SUM(J8:J19)</f>
        <v>96212.939999999988</v>
      </c>
      <c r="K20" s="30">
        <f>SUM(K8:K19)</f>
        <v>520538.54999999993</v>
      </c>
      <c r="L20" s="33"/>
    </row>
    <row r="21" spans="1:15" ht="17.850000000000001" customHeight="1" x14ac:dyDescent="0.3">
      <c r="B21" s="1"/>
    </row>
    <row r="22" spans="1:15" ht="17.850000000000001" customHeight="1" x14ac:dyDescent="0.3">
      <c r="B22" s="1"/>
    </row>
    <row r="23" spans="1:15" ht="17.850000000000001" customHeight="1" x14ac:dyDescent="0.3">
      <c r="B23" s="1"/>
      <c r="F23" s="34" t="s">
        <v>14</v>
      </c>
      <c r="G23" s="35" t="s">
        <v>15</v>
      </c>
      <c r="H23" s="34">
        <f>J20</f>
        <v>96212.939999999988</v>
      </c>
      <c r="I23" s="35"/>
      <c r="J23" s="36">
        <f>H23/H24*100</f>
        <v>22.674318432017333</v>
      </c>
      <c r="K23" s="37" t="s">
        <v>16</v>
      </c>
    </row>
    <row r="24" spans="1:15" ht="17.850000000000001" customHeight="1" x14ac:dyDescent="0.3">
      <c r="B24" s="1"/>
      <c r="F24" s="35" t="s">
        <v>17</v>
      </c>
      <c r="H24" s="35">
        <f>G20</f>
        <v>424325.61</v>
      </c>
      <c r="I24" s="35"/>
      <c r="O24">
        <f>3250/6</f>
        <v>541.66666666666663</v>
      </c>
    </row>
    <row r="25" spans="1:15" ht="17.850000000000001" customHeight="1" x14ac:dyDescent="0.3">
      <c r="B25" s="1"/>
      <c r="O25">
        <f>+O24/2</f>
        <v>270.83333333333331</v>
      </c>
    </row>
    <row r="26" spans="1:15" ht="17.850000000000001" customHeight="1" x14ac:dyDescent="0.3">
      <c r="B26" s="1"/>
      <c r="E26" s="23" t="s">
        <v>18</v>
      </c>
      <c r="F26" s="23"/>
      <c r="G26" s="40" t="s">
        <v>75</v>
      </c>
      <c r="I26" s="35" t="s">
        <v>15</v>
      </c>
      <c r="J26" s="34">
        <v>7000</v>
      </c>
      <c r="K26" s="38"/>
      <c r="L26" s="39">
        <f>J26/J27*100</f>
        <v>1.6496765302476086</v>
      </c>
      <c r="M26" s="38" t="s">
        <v>16</v>
      </c>
    </row>
    <row r="27" spans="1:15" ht="17.850000000000001" customHeight="1" x14ac:dyDescent="0.3">
      <c r="B27" s="1"/>
      <c r="E27" s="23" t="s">
        <v>68</v>
      </c>
      <c r="F27" s="23"/>
      <c r="G27" s="23"/>
      <c r="H27" s="40"/>
      <c r="J27" s="35">
        <f>G20</f>
        <v>424325.61</v>
      </c>
    </row>
    <row r="28" spans="1:15" ht="17.649999999999999" customHeight="1" x14ac:dyDescent="0.3">
      <c r="B28" s="1"/>
      <c r="C28" s="41" t="s">
        <v>73</v>
      </c>
      <c r="D28" s="41"/>
      <c r="E28" s="42"/>
      <c r="F28" s="42"/>
      <c r="G28" s="42"/>
      <c r="H28" s="42"/>
    </row>
    <row r="29" spans="1:15" ht="17.649999999999999" customHeight="1" x14ac:dyDescent="0.3">
      <c r="B29" s="1"/>
      <c r="C29" s="41" t="s">
        <v>74</v>
      </c>
      <c r="D29" s="41"/>
      <c r="E29" s="42"/>
      <c r="F29" s="42"/>
      <c r="G29" s="42"/>
      <c r="H29" s="42"/>
    </row>
    <row r="30" spans="1:15" ht="17.649999999999999" customHeight="1" x14ac:dyDescent="0.3">
      <c r="B30" s="1"/>
      <c r="C30" s="41"/>
      <c r="D30" s="41"/>
      <c r="E30" s="42"/>
      <c r="F30" s="42"/>
      <c r="G30" s="42"/>
      <c r="H30" s="42"/>
    </row>
    <row r="31" spans="1:15" ht="17.649999999999999" customHeight="1" x14ac:dyDescent="0.25">
      <c r="A31" t="s">
        <v>19</v>
      </c>
      <c r="B31" s="43" t="s">
        <v>62</v>
      </c>
      <c r="C31" s="41"/>
      <c r="D31" s="41"/>
      <c r="E31" s="42"/>
      <c r="F31" s="42"/>
      <c r="G31" s="42"/>
      <c r="H31" s="42"/>
    </row>
    <row r="32" spans="1:15" ht="13.35" customHeight="1" x14ac:dyDescent="0.3">
      <c r="B32" s="1"/>
    </row>
    <row r="33" spans="2:16" ht="15.75" x14ac:dyDescent="0.25">
      <c r="B33" s="7"/>
      <c r="C33" s="44"/>
      <c r="D33" s="44"/>
      <c r="E33" s="44"/>
      <c r="F33" s="44"/>
      <c r="G33" s="44"/>
      <c r="H33" s="44"/>
      <c r="I33" s="44"/>
      <c r="J33" s="44"/>
      <c r="K33" s="45"/>
      <c r="L33" s="7"/>
      <c r="M33" s="44"/>
      <c r="N33" s="44"/>
      <c r="O33" s="44"/>
    </row>
    <row r="34" spans="2:16" ht="15.75" x14ac:dyDescent="0.25">
      <c r="B34" s="46"/>
      <c r="C34" s="47"/>
      <c r="D34" s="47" t="s">
        <v>20</v>
      </c>
      <c r="E34" s="47" t="s">
        <v>21</v>
      </c>
      <c r="F34" s="47" t="s">
        <v>22</v>
      </c>
      <c r="G34" s="47" t="s">
        <v>23</v>
      </c>
      <c r="H34" s="47" t="s">
        <v>24</v>
      </c>
      <c r="I34" s="47" t="s">
        <v>25</v>
      </c>
      <c r="J34" s="47" t="s">
        <v>26</v>
      </c>
      <c r="K34" s="46" t="s">
        <v>21</v>
      </c>
      <c r="L34" s="47" t="s">
        <v>27</v>
      </c>
      <c r="M34" s="47" t="s">
        <v>27</v>
      </c>
      <c r="N34" s="47" t="s">
        <v>27</v>
      </c>
      <c r="O34" s="47" t="s">
        <v>28</v>
      </c>
      <c r="P34" s="47" t="s">
        <v>77</v>
      </c>
    </row>
    <row r="35" spans="2:16" ht="15.75" x14ac:dyDescent="0.25">
      <c r="B35" s="46" t="s">
        <v>29</v>
      </c>
      <c r="C35" s="47" t="s">
        <v>30</v>
      </c>
      <c r="D35" s="47" t="s">
        <v>8</v>
      </c>
      <c r="E35" s="47" t="s">
        <v>8</v>
      </c>
      <c r="F35" s="47" t="s">
        <v>8</v>
      </c>
      <c r="G35" s="47"/>
      <c r="H35" s="47" t="s">
        <v>8</v>
      </c>
      <c r="I35" s="47" t="s">
        <v>31</v>
      </c>
      <c r="J35" s="47" t="s">
        <v>32</v>
      </c>
      <c r="K35" s="46" t="s">
        <v>8</v>
      </c>
      <c r="L35" s="47" t="s">
        <v>33</v>
      </c>
      <c r="M35" s="47" t="s">
        <v>34</v>
      </c>
      <c r="N35" s="47" t="s">
        <v>35</v>
      </c>
      <c r="O35" s="47" t="s">
        <v>36</v>
      </c>
    </row>
    <row r="36" spans="2:16" ht="15.75" x14ac:dyDescent="0.25">
      <c r="B36" s="46"/>
      <c r="C36" s="47"/>
      <c r="D36" s="47"/>
      <c r="E36" s="47"/>
      <c r="F36" s="47"/>
      <c r="G36" s="47"/>
      <c r="H36" s="47"/>
      <c r="I36" s="47" t="s">
        <v>8</v>
      </c>
      <c r="J36" s="35" t="s">
        <v>8</v>
      </c>
      <c r="K36" s="46" t="s">
        <v>16</v>
      </c>
      <c r="L36" s="47" t="s">
        <v>37</v>
      </c>
      <c r="M36" s="47"/>
      <c r="N36" s="47"/>
      <c r="O36" s="47"/>
    </row>
    <row r="37" spans="2:16" ht="15.75" x14ac:dyDescent="0.25">
      <c r="B37" s="15"/>
      <c r="C37" s="48"/>
      <c r="D37" s="48"/>
      <c r="E37" s="48"/>
      <c r="F37" s="48"/>
      <c r="G37" s="48"/>
      <c r="H37" s="48"/>
      <c r="I37" s="48"/>
      <c r="J37" s="47" t="s">
        <v>16</v>
      </c>
      <c r="K37" s="48"/>
      <c r="L37" s="48"/>
      <c r="M37" s="48"/>
      <c r="N37" s="48"/>
      <c r="O37" s="48"/>
    </row>
    <row r="38" spans="2:16" ht="18.75" x14ac:dyDescent="0.25">
      <c r="B38" s="15"/>
      <c r="C38" s="48" t="s">
        <v>45</v>
      </c>
      <c r="D38" s="48"/>
      <c r="E38" s="48"/>
      <c r="F38" s="48"/>
      <c r="G38" s="48"/>
      <c r="H38" s="48"/>
      <c r="I38" s="48"/>
      <c r="J38" s="49"/>
      <c r="K38" s="48"/>
      <c r="L38" s="48"/>
      <c r="M38" s="48"/>
      <c r="N38" s="48"/>
      <c r="O38" s="48"/>
    </row>
    <row r="39" spans="2:16" ht="15.75" x14ac:dyDescent="0.25">
      <c r="B39" s="50"/>
      <c r="C39" s="47"/>
      <c r="D39" s="47"/>
      <c r="E39" s="47"/>
      <c r="F39" s="47"/>
      <c r="G39" s="47"/>
      <c r="H39" s="47"/>
      <c r="I39" s="47"/>
      <c r="J39" s="7"/>
      <c r="K39" s="47"/>
      <c r="L39" s="47"/>
      <c r="M39" s="47"/>
      <c r="N39" s="47"/>
      <c r="O39" s="47"/>
    </row>
    <row r="40" spans="2:16" ht="15.75" x14ac:dyDescent="0.25">
      <c r="B40" s="19" t="s">
        <v>47</v>
      </c>
      <c r="C40" s="47" t="s">
        <v>59</v>
      </c>
      <c r="D40" s="51">
        <v>814.44</v>
      </c>
      <c r="E40" s="66">
        <v>928.16</v>
      </c>
      <c r="F40" s="52">
        <f>E40*J23/100</f>
        <v>210.45395395861206</v>
      </c>
      <c r="G40" s="52">
        <f>E40*L26/100</f>
        <v>15.311637683146206</v>
      </c>
      <c r="H40" s="52">
        <f>SUM(E40:F40:G40)</f>
        <v>1153.9255916417583</v>
      </c>
      <c r="I40" s="52">
        <v>1154</v>
      </c>
      <c r="J40" s="53">
        <f t="shared" ref="J40:J51" si="0">((F40+G40)/H40)*100</f>
        <v>19.565004301581371</v>
      </c>
      <c r="K40" s="53">
        <f>100-J40</f>
        <v>80.434995698418632</v>
      </c>
      <c r="L40" s="47">
        <v>1</v>
      </c>
      <c r="M40" s="47">
        <v>9</v>
      </c>
      <c r="N40" s="47">
        <v>1</v>
      </c>
      <c r="O40" s="47">
        <f t="shared" ref="O40:O51" si="1">L40*M40*N40</f>
        <v>9</v>
      </c>
      <c r="P40" s="73">
        <f>D40/I40*100</f>
        <v>70.575389948006944</v>
      </c>
    </row>
    <row r="41" spans="2:16" ht="15.75" x14ac:dyDescent="0.25">
      <c r="B41" s="19" t="s">
        <v>48</v>
      </c>
      <c r="C41" s="47" t="s">
        <v>41</v>
      </c>
      <c r="D41" s="51">
        <v>651.5</v>
      </c>
      <c r="E41" s="66">
        <v>752.41</v>
      </c>
      <c r="F41" s="52">
        <f>E41*J23/100</f>
        <v>170.6038393143416</v>
      </c>
      <c r="G41" s="52">
        <f>E41*L26/100</f>
        <v>12.412331181236032</v>
      </c>
      <c r="H41" s="52">
        <f>SUM(E41:F41:G41)</f>
        <v>935.42617049557759</v>
      </c>
      <c r="I41" s="52">
        <v>936</v>
      </c>
      <c r="J41" s="53">
        <f t="shared" si="0"/>
        <v>19.565004301581368</v>
      </c>
      <c r="K41" s="53">
        <f t="shared" ref="K41:K51" si="2">100-J41</f>
        <v>80.434995698418632</v>
      </c>
      <c r="L41" s="47">
        <v>1</v>
      </c>
      <c r="M41" s="47">
        <v>9</v>
      </c>
      <c r="N41" s="47">
        <v>1</v>
      </c>
      <c r="O41" s="47">
        <f t="shared" si="1"/>
        <v>9</v>
      </c>
      <c r="P41" s="73">
        <f t="shared" ref="P41:P51" si="3">D41/I41*100</f>
        <v>69.604700854700852</v>
      </c>
    </row>
    <row r="42" spans="2:16" ht="15.75" x14ac:dyDescent="0.25">
      <c r="B42" s="19" t="s">
        <v>49</v>
      </c>
      <c r="C42" s="47" t="s">
        <v>41</v>
      </c>
      <c r="D42" s="51">
        <v>663.86</v>
      </c>
      <c r="E42" s="66">
        <v>767.33</v>
      </c>
      <c r="F42" s="52">
        <f>E42*J23/100</f>
        <v>173.98684762439862</v>
      </c>
      <c r="G42" s="52">
        <f>E42*L26/100</f>
        <v>12.658462919548976</v>
      </c>
      <c r="H42" s="52">
        <f>SUM(E42:F42:G42)</f>
        <v>953.97531054394756</v>
      </c>
      <c r="I42" s="52">
        <v>954</v>
      </c>
      <c r="J42" s="53">
        <f t="shared" si="0"/>
        <v>19.565004301581375</v>
      </c>
      <c r="K42" s="53">
        <f t="shared" si="2"/>
        <v>80.434995698418618</v>
      </c>
      <c r="L42" s="47">
        <v>1</v>
      </c>
      <c r="M42" s="47">
        <v>9</v>
      </c>
      <c r="N42" s="47">
        <v>1</v>
      </c>
      <c r="O42" s="47">
        <f t="shared" si="1"/>
        <v>9</v>
      </c>
      <c r="P42" s="73">
        <f t="shared" si="3"/>
        <v>69.587002096436052</v>
      </c>
    </row>
    <row r="43" spans="2:16" ht="15.75" x14ac:dyDescent="0.25">
      <c r="B43" s="19" t="s">
        <v>50</v>
      </c>
      <c r="C43" s="47" t="s">
        <v>41</v>
      </c>
      <c r="D43" s="51">
        <v>651.5</v>
      </c>
      <c r="E43" s="66">
        <v>752.41</v>
      </c>
      <c r="F43" s="52">
        <f>E43*J23/100</f>
        <v>170.6038393143416</v>
      </c>
      <c r="G43" s="52">
        <f>E43*L26/100</f>
        <v>12.412331181236032</v>
      </c>
      <c r="H43" s="52">
        <f>SUM(E43:F43:G43)</f>
        <v>935.42617049557759</v>
      </c>
      <c r="I43" s="52">
        <v>936</v>
      </c>
      <c r="J43" s="53">
        <f t="shared" si="0"/>
        <v>19.565004301581368</v>
      </c>
      <c r="K43" s="53">
        <f t="shared" si="2"/>
        <v>80.434995698418632</v>
      </c>
      <c r="L43" s="47">
        <v>1</v>
      </c>
      <c r="M43" s="47">
        <v>9</v>
      </c>
      <c r="N43" s="47">
        <v>1</v>
      </c>
      <c r="O43" s="47">
        <f t="shared" si="1"/>
        <v>9</v>
      </c>
      <c r="P43" s="73">
        <f t="shared" si="3"/>
        <v>69.604700854700852</v>
      </c>
    </row>
    <row r="44" spans="2:16" ht="15.75" x14ac:dyDescent="0.25">
      <c r="B44" s="19" t="s">
        <v>51</v>
      </c>
      <c r="C44" s="47" t="s">
        <v>41</v>
      </c>
      <c r="D44" s="51">
        <v>663.86</v>
      </c>
      <c r="E44" s="66">
        <v>767.33</v>
      </c>
      <c r="F44" s="52">
        <f>E44*J23/100</f>
        <v>173.98684762439862</v>
      </c>
      <c r="G44" s="52">
        <f>E44*L26/100</f>
        <v>12.658462919548976</v>
      </c>
      <c r="H44" s="52">
        <f>SUM(E44:F44:G44)</f>
        <v>953.97531054394756</v>
      </c>
      <c r="I44" s="52">
        <v>954</v>
      </c>
      <c r="J44" s="53">
        <f t="shared" si="0"/>
        <v>19.565004301581375</v>
      </c>
      <c r="K44" s="53">
        <f t="shared" si="2"/>
        <v>80.434995698418618</v>
      </c>
      <c r="L44" s="47">
        <v>1</v>
      </c>
      <c r="M44" s="47">
        <v>9</v>
      </c>
      <c r="N44" s="47">
        <v>1</v>
      </c>
      <c r="O44" s="47">
        <f t="shared" si="1"/>
        <v>9</v>
      </c>
      <c r="P44" s="73">
        <f t="shared" si="3"/>
        <v>69.587002096436052</v>
      </c>
    </row>
    <row r="45" spans="2:16" ht="15.75" x14ac:dyDescent="0.25">
      <c r="B45" s="19" t="s">
        <v>52</v>
      </c>
      <c r="C45" s="47" t="s">
        <v>41</v>
      </c>
      <c r="D45" s="51">
        <v>651.5</v>
      </c>
      <c r="E45" s="66">
        <v>752.41</v>
      </c>
      <c r="F45" s="52">
        <f>E45*J23/100</f>
        <v>170.6038393143416</v>
      </c>
      <c r="G45" s="52">
        <f>E45*L26/100</f>
        <v>12.412331181236032</v>
      </c>
      <c r="H45" s="52">
        <f>SUM(E45:F45:G45)</f>
        <v>935.42617049557759</v>
      </c>
      <c r="I45" s="52">
        <v>936</v>
      </c>
      <c r="J45" s="53">
        <f t="shared" si="0"/>
        <v>19.565004301581368</v>
      </c>
      <c r="K45" s="53">
        <f t="shared" si="2"/>
        <v>80.434995698418632</v>
      </c>
      <c r="L45" s="47">
        <v>1</v>
      </c>
      <c r="M45" s="47">
        <v>9</v>
      </c>
      <c r="N45" s="47">
        <v>1</v>
      </c>
      <c r="O45" s="47">
        <f t="shared" si="1"/>
        <v>9</v>
      </c>
      <c r="P45" s="73">
        <f t="shared" si="3"/>
        <v>69.604700854700852</v>
      </c>
    </row>
    <row r="46" spans="2:16" ht="15.75" x14ac:dyDescent="0.25">
      <c r="B46" s="19" t="s">
        <v>53</v>
      </c>
      <c r="C46" s="47" t="s">
        <v>41</v>
      </c>
      <c r="D46" s="51">
        <v>663.86</v>
      </c>
      <c r="E46" s="66">
        <v>767.33</v>
      </c>
      <c r="F46" s="52">
        <f>E46*J23/100</f>
        <v>173.98684762439862</v>
      </c>
      <c r="G46" s="52">
        <f>E46*L26/100</f>
        <v>12.658462919548976</v>
      </c>
      <c r="H46" s="52">
        <f>SUM(E46:F46:G46)</f>
        <v>953.97531054394756</v>
      </c>
      <c r="I46" s="52">
        <v>954</v>
      </c>
      <c r="J46" s="53">
        <f t="shared" si="0"/>
        <v>19.565004301581375</v>
      </c>
      <c r="K46" s="53">
        <f t="shared" si="2"/>
        <v>80.434995698418618</v>
      </c>
      <c r="L46" s="47">
        <v>1</v>
      </c>
      <c r="M46" s="47">
        <v>9</v>
      </c>
      <c r="N46" s="47">
        <v>1</v>
      </c>
      <c r="O46" s="47">
        <f t="shared" si="1"/>
        <v>9</v>
      </c>
      <c r="P46" s="73">
        <f t="shared" si="3"/>
        <v>69.587002096436052</v>
      </c>
    </row>
    <row r="47" spans="2:16" ht="15.75" x14ac:dyDescent="0.25">
      <c r="B47" s="19" t="s">
        <v>54</v>
      </c>
      <c r="C47" s="47" t="s">
        <v>41</v>
      </c>
      <c r="D47" s="51">
        <v>659.92</v>
      </c>
      <c r="E47" s="66">
        <v>763.08</v>
      </c>
      <c r="F47" s="52">
        <f>E47*J23/100</f>
        <v>173.02318909103789</v>
      </c>
      <c r="G47" s="52">
        <f>E47*L26/100</f>
        <v>12.588351667013454</v>
      </c>
      <c r="H47" s="52">
        <f>SUM(E47:F47:G47)</f>
        <v>948.69154075805136</v>
      </c>
      <c r="I47" s="52">
        <v>949</v>
      </c>
      <c r="J47" s="53">
        <f t="shared" si="0"/>
        <v>19.565004301581375</v>
      </c>
      <c r="K47" s="53">
        <f t="shared" si="2"/>
        <v>80.434995698418618</v>
      </c>
      <c r="L47" s="47">
        <v>1</v>
      </c>
      <c r="M47" s="47">
        <v>9</v>
      </c>
      <c r="N47" s="47">
        <v>1</v>
      </c>
      <c r="O47" s="47">
        <f t="shared" si="1"/>
        <v>9</v>
      </c>
      <c r="P47" s="73">
        <f t="shared" si="3"/>
        <v>69.538461538461533</v>
      </c>
    </row>
    <row r="48" spans="2:16" ht="15.75" x14ac:dyDescent="0.25">
      <c r="B48" s="19" t="s">
        <v>55</v>
      </c>
      <c r="C48" s="47" t="s">
        <v>41</v>
      </c>
      <c r="D48" s="51">
        <v>665.33</v>
      </c>
      <c r="E48" s="66">
        <v>766.84</v>
      </c>
      <c r="F48" s="52">
        <f>E48*J23/100</f>
        <v>173.87574346408172</v>
      </c>
      <c r="G48" s="52">
        <f>E48*L26/100</f>
        <v>12.650379504550763</v>
      </c>
      <c r="H48" s="52">
        <f>SUM(E48:F48:G48)</f>
        <v>953.36612296863245</v>
      </c>
      <c r="I48" s="52">
        <v>954</v>
      </c>
      <c r="J48" s="53">
        <f t="shared" si="0"/>
        <v>19.565004301581371</v>
      </c>
      <c r="K48" s="53">
        <f t="shared" si="2"/>
        <v>80.434995698418632</v>
      </c>
      <c r="L48" s="47">
        <v>1</v>
      </c>
      <c r="M48" s="47">
        <v>9</v>
      </c>
      <c r="N48" s="47">
        <v>1</v>
      </c>
      <c r="O48" s="47">
        <f t="shared" si="1"/>
        <v>9</v>
      </c>
      <c r="P48" s="73">
        <f t="shared" si="3"/>
        <v>69.741090146750523</v>
      </c>
    </row>
    <row r="49" spans="1:16" ht="15.75" x14ac:dyDescent="0.25">
      <c r="B49" s="19" t="s">
        <v>56</v>
      </c>
      <c r="C49" s="47" t="s">
        <v>41</v>
      </c>
      <c r="D49" s="51">
        <v>659.92</v>
      </c>
      <c r="E49" s="66">
        <v>762.27</v>
      </c>
      <c r="F49" s="52">
        <f>E49*J23/100</f>
        <v>172.83952711173853</v>
      </c>
      <c r="G49" s="52">
        <f>E49*L26/100</f>
        <v>12.574989287118447</v>
      </c>
      <c r="H49" s="52">
        <f>SUM(E49:F49:G49)</f>
        <v>947.684516398857</v>
      </c>
      <c r="I49" s="52">
        <v>948</v>
      </c>
      <c r="J49" s="53">
        <f t="shared" si="0"/>
        <v>19.565004301581371</v>
      </c>
      <c r="K49" s="53">
        <f t="shared" si="2"/>
        <v>80.434995698418632</v>
      </c>
      <c r="L49" s="47">
        <v>1</v>
      </c>
      <c r="M49" s="47">
        <v>9</v>
      </c>
      <c r="N49" s="47">
        <v>1</v>
      </c>
      <c r="O49" s="47">
        <f t="shared" si="1"/>
        <v>9</v>
      </c>
      <c r="P49" s="73">
        <f t="shared" si="3"/>
        <v>69.611814345991547</v>
      </c>
    </row>
    <row r="50" spans="1:16" ht="15.75" x14ac:dyDescent="0.25">
      <c r="B50" s="19" t="s">
        <v>57</v>
      </c>
      <c r="C50" s="47" t="s">
        <v>59</v>
      </c>
      <c r="D50" s="51">
        <v>814.44</v>
      </c>
      <c r="E50" s="66">
        <v>928.16</v>
      </c>
      <c r="F50" s="52">
        <f>E50*J23/100</f>
        <v>210.45395395861206</v>
      </c>
      <c r="G50" s="52">
        <f>E50*L26/100</f>
        <v>15.311637683146206</v>
      </c>
      <c r="H50" s="52">
        <f>SUM(E50:F50:G50)</f>
        <v>1153.9255916417583</v>
      </c>
      <c r="I50" s="52">
        <v>1154</v>
      </c>
      <c r="J50" s="53">
        <f t="shared" si="0"/>
        <v>19.565004301581371</v>
      </c>
      <c r="K50" s="53">
        <f t="shared" si="2"/>
        <v>80.434995698418632</v>
      </c>
      <c r="L50" s="47">
        <v>1</v>
      </c>
      <c r="M50" s="47">
        <v>9</v>
      </c>
      <c r="N50" s="47">
        <v>1</v>
      </c>
      <c r="O50" s="47">
        <f t="shared" si="1"/>
        <v>9</v>
      </c>
      <c r="P50" s="73">
        <f t="shared" si="3"/>
        <v>70.575389948006944</v>
      </c>
    </row>
    <row r="51" spans="1:16" ht="16.5" thickBot="1" x14ac:dyDescent="0.3">
      <c r="B51" s="19" t="s">
        <v>58</v>
      </c>
      <c r="C51" s="47" t="s">
        <v>41</v>
      </c>
      <c r="D51" s="51">
        <v>659.92</v>
      </c>
      <c r="E51" s="67">
        <v>761.44</v>
      </c>
      <c r="F51" s="52">
        <f>E51*J23/100</f>
        <v>172.65133026875279</v>
      </c>
      <c r="G51" s="52">
        <f>E51*L26/100</f>
        <v>12.561296971917393</v>
      </c>
      <c r="H51" s="52">
        <f>SUM(E51:F51:G51)</f>
        <v>946.6526272406702</v>
      </c>
      <c r="I51" s="52">
        <v>947</v>
      </c>
      <c r="J51" s="53">
        <f t="shared" si="0"/>
        <v>19.565004301581371</v>
      </c>
      <c r="K51" s="53">
        <f t="shared" si="2"/>
        <v>80.434995698418632</v>
      </c>
      <c r="L51" s="47">
        <v>1</v>
      </c>
      <c r="M51" s="47">
        <v>9</v>
      </c>
      <c r="N51" s="47">
        <v>1</v>
      </c>
      <c r="O51" s="47">
        <f t="shared" si="1"/>
        <v>9</v>
      </c>
      <c r="P51" s="73">
        <f t="shared" si="3"/>
        <v>69.685322069693768</v>
      </c>
    </row>
    <row r="52" spans="1:16" ht="16.5" thickBot="1" x14ac:dyDescent="0.3">
      <c r="B52" s="29"/>
      <c r="C52" s="31"/>
      <c r="D52" s="54">
        <f t="shared" ref="D52:I52" si="4">SUM(D40:D51)</f>
        <v>8220.0499999999993</v>
      </c>
      <c r="E52" s="54">
        <f t="shared" si="4"/>
        <v>9469.17</v>
      </c>
      <c r="F52" s="54">
        <f t="shared" si="4"/>
        <v>2147.0697586690558</v>
      </c>
      <c r="G52" s="54">
        <f t="shared" si="4"/>
        <v>156.21067509924751</v>
      </c>
      <c r="H52" s="54">
        <f t="shared" si="4"/>
        <v>11772.450433768303</v>
      </c>
      <c r="I52" s="54">
        <f t="shared" si="4"/>
        <v>11776</v>
      </c>
      <c r="J52" s="55"/>
      <c r="K52" s="55"/>
      <c r="L52" s="55">
        <f>SUM(L40:L51)</f>
        <v>12</v>
      </c>
      <c r="M52" s="55">
        <v>9</v>
      </c>
      <c r="N52" s="55">
        <v>1</v>
      </c>
      <c r="O52" s="49">
        <f>SUM(O40:O51)</f>
        <v>108</v>
      </c>
      <c r="P52" s="75">
        <f>AVERAGE(P40:P50)</f>
        <v>69.783386798238922</v>
      </c>
    </row>
    <row r="53" spans="1:16" ht="17.649999999999999" customHeight="1" x14ac:dyDescent="0.25">
      <c r="B53" s="56" t="s">
        <v>39</v>
      </c>
      <c r="C53" s="18"/>
      <c r="D53" s="14">
        <v>9</v>
      </c>
      <c r="E53" s="14">
        <v>9</v>
      </c>
      <c r="F53" s="14">
        <v>9</v>
      </c>
      <c r="G53" s="14">
        <v>9</v>
      </c>
      <c r="H53" s="57">
        <v>9</v>
      </c>
      <c r="I53" s="57">
        <v>9</v>
      </c>
      <c r="J53" s="58"/>
      <c r="K53" s="58"/>
      <c r="L53" s="58"/>
    </row>
    <row r="54" spans="1:16" ht="16.7" customHeight="1" x14ac:dyDescent="0.25">
      <c r="B54" s="59"/>
      <c r="C54" s="59"/>
      <c r="D54" s="60">
        <f t="shared" ref="D54:I54" si="5">D52*D53</f>
        <v>73980.45</v>
      </c>
      <c r="E54" s="60">
        <f t="shared" si="5"/>
        <v>85222.53</v>
      </c>
      <c r="F54" s="60">
        <f t="shared" si="5"/>
        <v>19323.627828021501</v>
      </c>
      <c r="G54" s="60">
        <f t="shared" si="5"/>
        <v>1405.8960758932276</v>
      </c>
      <c r="H54" s="60">
        <f t="shared" si="5"/>
        <v>105952.05390391473</v>
      </c>
      <c r="I54" s="61">
        <f t="shared" si="5"/>
        <v>105984</v>
      </c>
      <c r="J54" s="58"/>
      <c r="K54" s="58"/>
      <c r="L54" s="58"/>
    </row>
    <row r="55" spans="1:16" ht="14.85" customHeight="1" x14ac:dyDescent="0.25">
      <c r="B55" s="23"/>
      <c r="F55" s="23"/>
      <c r="G55" s="23"/>
      <c r="H55" s="58"/>
      <c r="I55" s="58"/>
      <c r="J55" s="58"/>
      <c r="K55" s="58"/>
      <c r="L55" s="58"/>
    </row>
    <row r="56" spans="1:16" ht="14.85" customHeight="1" x14ac:dyDescent="0.25">
      <c r="B56" s="23"/>
      <c r="F56" s="23"/>
      <c r="G56" s="23"/>
      <c r="H56" s="58"/>
      <c r="I56" s="58"/>
      <c r="J56" s="58"/>
      <c r="K56" s="58"/>
      <c r="L56" s="58"/>
    </row>
    <row r="57" spans="1:16" ht="14.85" customHeight="1" x14ac:dyDescent="0.25">
      <c r="B57" s="23"/>
      <c r="F57" s="23"/>
      <c r="G57" s="23"/>
      <c r="H57" s="58"/>
      <c r="I57" s="58"/>
      <c r="J57" s="58"/>
      <c r="K57" s="58"/>
      <c r="L57" s="58"/>
    </row>
    <row r="58" spans="1:16" ht="14.85" customHeight="1" x14ac:dyDescent="0.25">
      <c r="B58" s="23"/>
      <c r="F58" s="23"/>
      <c r="G58" s="23"/>
      <c r="H58" s="58"/>
      <c r="I58" s="58"/>
      <c r="J58" s="58"/>
      <c r="K58" s="58"/>
      <c r="L58" s="58"/>
    </row>
    <row r="59" spans="1:16" ht="14.85" customHeight="1" x14ac:dyDescent="0.25">
      <c r="B59" s="23"/>
      <c r="F59" s="23"/>
      <c r="G59" s="23"/>
      <c r="H59" s="58"/>
      <c r="I59" s="58"/>
      <c r="J59" s="58"/>
      <c r="K59" s="58"/>
      <c r="L59" s="58"/>
    </row>
    <row r="60" spans="1:16" ht="14.85" customHeight="1" x14ac:dyDescent="0.25">
      <c r="B60" s="23"/>
      <c r="F60" s="23"/>
      <c r="G60" s="23"/>
      <c r="H60" s="58"/>
      <c r="I60" s="58"/>
      <c r="J60" s="58"/>
      <c r="K60" s="58"/>
      <c r="L60" s="58"/>
    </row>
    <row r="61" spans="1:16" ht="14.85" customHeight="1" x14ac:dyDescent="0.25">
      <c r="B61" s="23"/>
      <c r="F61" s="23"/>
      <c r="G61" s="23"/>
      <c r="H61" s="58"/>
      <c r="I61" s="58"/>
      <c r="J61" s="58"/>
      <c r="K61" s="58"/>
      <c r="L61" s="58"/>
    </row>
    <row r="62" spans="1:16" ht="14.85" customHeight="1" x14ac:dyDescent="0.25">
      <c r="B62" s="23"/>
      <c r="F62" s="23"/>
      <c r="G62" s="23"/>
      <c r="H62" s="58"/>
      <c r="I62" s="58"/>
      <c r="J62" s="58"/>
      <c r="K62" s="58"/>
      <c r="L62" s="58"/>
    </row>
    <row r="63" spans="1:16" ht="14.85" customHeight="1" x14ac:dyDescent="0.25">
      <c r="B63" s="23"/>
      <c r="F63" s="23"/>
      <c r="G63" s="23"/>
      <c r="H63" s="58"/>
      <c r="I63" s="58"/>
      <c r="J63" s="58"/>
      <c r="K63" s="58"/>
      <c r="L63" s="58"/>
    </row>
    <row r="64" spans="1:16" ht="18" x14ac:dyDescent="0.25">
      <c r="A64" t="s">
        <v>40</v>
      </c>
      <c r="B64" s="43" t="s">
        <v>63</v>
      </c>
      <c r="F64" s="23"/>
      <c r="G64" s="23"/>
      <c r="H64" s="58"/>
      <c r="I64" s="58"/>
      <c r="J64" s="58"/>
      <c r="K64" s="58"/>
      <c r="L64" s="58"/>
    </row>
    <row r="65" spans="2:16" ht="15.75" x14ac:dyDescent="0.25">
      <c r="B65" s="23"/>
      <c r="F65" s="23"/>
      <c r="G65" s="23"/>
      <c r="H65" s="58"/>
      <c r="I65" s="58"/>
      <c r="J65" s="58"/>
      <c r="K65" s="58"/>
      <c r="L65" s="58"/>
    </row>
    <row r="66" spans="2:16" ht="15.75" x14ac:dyDescent="0.25">
      <c r="B66" s="7"/>
      <c r="C66" s="44"/>
      <c r="D66" s="44"/>
      <c r="E66" s="44"/>
      <c r="F66" s="44"/>
      <c r="G66" s="44"/>
      <c r="H66" s="44"/>
      <c r="I66" s="44"/>
      <c r="J66" s="44"/>
      <c r="K66" s="45"/>
      <c r="L66" s="7"/>
      <c r="M66" s="44"/>
      <c r="N66" s="44"/>
      <c r="O66" s="44"/>
    </row>
    <row r="67" spans="2:16" ht="15.75" x14ac:dyDescent="0.25">
      <c r="B67" s="46"/>
      <c r="C67" s="47"/>
      <c r="D67" s="47" t="s">
        <v>20</v>
      </c>
      <c r="E67" s="47" t="s">
        <v>21</v>
      </c>
      <c r="F67" s="47" t="s">
        <v>22</v>
      </c>
      <c r="G67" s="47" t="s">
        <v>23</v>
      </c>
      <c r="H67" s="47" t="s">
        <v>24</v>
      </c>
      <c r="I67" s="47" t="s">
        <v>25</v>
      </c>
      <c r="J67" s="47" t="s">
        <v>26</v>
      </c>
      <c r="K67" s="46" t="s">
        <v>21</v>
      </c>
      <c r="L67" s="47" t="s">
        <v>27</v>
      </c>
      <c r="M67" s="47" t="s">
        <v>27</v>
      </c>
      <c r="N67" s="47" t="s">
        <v>27</v>
      </c>
      <c r="O67" s="47" t="s">
        <v>28</v>
      </c>
    </row>
    <row r="68" spans="2:16" ht="15.75" x14ac:dyDescent="0.25">
      <c r="B68" s="46" t="s">
        <v>29</v>
      </c>
      <c r="C68" s="47" t="s">
        <v>30</v>
      </c>
      <c r="D68" s="47" t="s">
        <v>8</v>
      </c>
      <c r="E68" s="47" t="s">
        <v>8</v>
      </c>
      <c r="F68" s="47" t="s">
        <v>8</v>
      </c>
      <c r="G68" s="47"/>
      <c r="H68" s="47" t="s">
        <v>8</v>
      </c>
      <c r="I68" s="47" t="s">
        <v>31</v>
      </c>
      <c r="J68" s="47" t="s">
        <v>32</v>
      </c>
      <c r="K68" s="46" t="s">
        <v>8</v>
      </c>
      <c r="L68" s="47" t="s">
        <v>33</v>
      </c>
      <c r="M68" s="47" t="s">
        <v>34</v>
      </c>
      <c r="N68" s="47" t="s">
        <v>35</v>
      </c>
      <c r="O68" s="47" t="s">
        <v>36</v>
      </c>
    </row>
    <row r="69" spans="2:16" ht="15.75" x14ac:dyDescent="0.25">
      <c r="B69" s="46"/>
      <c r="C69" s="47"/>
      <c r="D69" s="47"/>
      <c r="E69" s="47"/>
      <c r="F69" s="47"/>
      <c r="G69" s="47"/>
      <c r="H69" s="47"/>
      <c r="I69" s="47" t="s">
        <v>8</v>
      </c>
      <c r="J69" s="35" t="s">
        <v>8</v>
      </c>
      <c r="K69" s="46" t="s">
        <v>16</v>
      </c>
      <c r="L69" s="47" t="s">
        <v>37</v>
      </c>
      <c r="M69" s="47"/>
      <c r="N69" s="47"/>
      <c r="O69" s="47"/>
    </row>
    <row r="70" spans="2:16" ht="15.75" x14ac:dyDescent="0.25">
      <c r="B70" s="15"/>
      <c r="C70" s="48"/>
      <c r="D70" s="48"/>
      <c r="E70" s="48"/>
      <c r="F70" s="48"/>
      <c r="G70" s="48"/>
      <c r="H70" s="48"/>
      <c r="I70" s="48"/>
      <c r="J70" s="47" t="s">
        <v>16</v>
      </c>
      <c r="K70" s="48"/>
      <c r="L70" s="48"/>
      <c r="M70" s="48"/>
      <c r="N70" s="48"/>
      <c r="O70" s="48"/>
    </row>
    <row r="71" spans="2:16" ht="18.75" x14ac:dyDescent="0.25">
      <c r="B71" s="15"/>
      <c r="C71" s="48" t="s">
        <v>45</v>
      </c>
      <c r="D71" s="48"/>
      <c r="E71" s="48"/>
      <c r="F71" s="48"/>
      <c r="G71" s="48"/>
      <c r="H71" s="48"/>
      <c r="I71" s="48"/>
      <c r="J71" s="49"/>
      <c r="K71" s="48"/>
      <c r="L71" s="48"/>
      <c r="M71" s="48"/>
      <c r="N71" s="48"/>
      <c r="O71" s="48"/>
    </row>
    <row r="72" spans="2:16" ht="15.75" x14ac:dyDescent="0.25">
      <c r="B72" s="50"/>
      <c r="C72" s="47"/>
      <c r="D72" s="47"/>
      <c r="E72" s="47"/>
      <c r="F72" s="47"/>
      <c r="G72" s="47"/>
      <c r="H72" s="47"/>
      <c r="I72" s="47"/>
      <c r="J72" s="7"/>
      <c r="K72" s="47"/>
      <c r="L72" s="47"/>
      <c r="M72" s="47"/>
      <c r="N72" s="47"/>
      <c r="O72" s="47"/>
    </row>
    <row r="73" spans="2:16" ht="15.75" x14ac:dyDescent="0.25">
      <c r="B73" s="19" t="s">
        <v>47</v>
      </c>
      <c r="C73" s="47" t="s">
        <v>59</v>
      </c>
      <c r="D73" s="51">
        <v>814.44</v>
      </c>
      <c r="E73" s="66">
        <v>928.16</v>
      </c>
      <c r="F73" s="52">
        <f>E73*J23/100</f>
        <v>210.45395395861206</v>
      </c>
      <c r="G73" s="52">
        <f>E73*L26/100</f>
        <v>15.311637683146206</v>
      </c>
      <c r="H73" s="52">
        <f>SUM(E73:F73:G73)</f>
        <v>1153.9255916417583</v>
      </c>
      <c r="I73" s="52">
        <v>1154</v>
      </c>
      <c r="J73" s="53">
        <f t="shared" ref="J73:J84" si="6">((F73+G73)/H73)*100</f>
        <v>19.565004301581371</v>
      </c>
      <c r="K73" s="53">
        <f t="shared" ref="K73:K84" si="7">100-J73</f>
        <v>80.434995698418632</v>
      </c>
      <c r="L73" s="47">
        <v>1</v>
      </c>
      <c r="M73" s="47">
        <v>9</v>
      </c>
      <c r="N73" s="47">
        <v>1</v>
      </c>
      <c r="O73" s="47">
        <f t="shared" ref="O73:O84" si="8">L73*M73*N73</f>
        <v>9</v>
      </c>
      <c r="P73" s="74">
        <f>D73/I73*100</f>
        <v>70.575389948006944</v>
      </c>
    </row>
    <row r="74" spans="2:16" ht="15.75" x14ac:dyDescent="0.25">
      <c r="B74" s="19" t="s">
        <v>48</v>
      </c>
      <c r="C74" s="47" t="s">
        <v>41</v>
      </c>
      <c r="D74" s="51">
        <v>651.5</v>
      </c>
      <c r="E74" s="66">
        <v>752.41</v>
      </c>
      <c r="F74" s="52">
        <f>E74*J23/100</f>
        <v>170.6038393143416</v>
      </c>
      <c r="G74" s="52">
        <f>E74*L26/100</f>
        <v>12.412331181236032</v>
      </c>
      <c r="H74" s="52">
        <f>SUM(E74:F74:G74)</f>
        <v>935.42617049557759</v>
      </c>
      <c r="I74" s="52">
        <v>936</v>
      </c>
      <c r="J74" s="53">
        <f t="shared" si="6"/>
        <v>19.565004301581368</v>
      </c>
      <c r="K74" s="53">
        <f t="shared" si="7"/>
        <v>80.434995698418632</v>
      </c>
      <c r="L74" s="47">
        <v>1</v>
      </c>
      <c r="M74" s="47">
        <v>9</v>
      </c>
      <c r="N74" s="47">
        <v>1</v>
      </c>
      <c r="O74" s="47">
        <f t="shared" si="8"/>
        <v>9</v>
      </c>
      <c r="P74" s="74">
        <f t="shared" ref="P74:P83" si="9">D74/I74*100</f>
        <v>69.604700854700852</v>
      </c>
    </row>
    <row r="75" spans="2:16" ht="15.75" x14ac:dyDescent="0.25">
      <c r="B75" s="19" t="s">
        <v>49</v>
      </c>
      <c r="C75" s="47" t="s">
        <v>41</v>
      </c>
      <c r="D75" s="51">
        <v>663.86</v>
      </c>
      <c r="E75" s="66">
        <v>767.33</v>
      </c>
      <c r="F75" s="52">
        <f>E75*J23/100</f>
        <v>173.98684762439862</v>
      </c>
      <c r="G75" s="52">
        <f>E75*L26/100</f>
        <v>12.658462919548976</v>
      </c>
      <c r="H75" s="52">
        <f>SUM(E75:F75:G75)</f>
        <v>953.97531054394756</v>
      </c>
      <c r="I75" s="52">
        <v>954</v>
      </c>
      <c r="J75" s="53">
        <f t="shared" si="6"/>
        <v>19.565004301581375</v>
      </c>
      <c r="K75" s="53">
        <f t="shared" si="7"/>
        <v>80.434995698418618</v>
      </c>
      <c r="L75" s="47">
        <v>1</v>
      </c>
      <c r="M75" s="47">
        <v>9</v>
      </c>
      <c r="N75" s="47">
        <v>1</v>
      </c>
      <c r="O75" s="47">
        <f t="shared" si="8"/>
        <v>9</v>
      </c>
      <c r="P75" s="74">
        <f t="shared" si="9"/>
        <v>69.587002096436052</v>
      </c>
    </row>
    <row r="76" spans="2:16" ht="15.75" x14ac:dyDescent="0.25">
      <c r="B76" s="19" t="s">
        <v>50</v>
      </c>
      <c r="C76" s="47" t="s">
        <v>41</v>
      </c>
      <c r="D76" s="51">
        <v>651.5</v>
      </c>
      <c r="E76" s="66">
        <v>752.41</v>
      </c>
      <c r="F76" s="52">
        <f>E76*J23/100</f>
        <v>170.6038393143416</v>
      </c>
      <c r="G76" s="52">
        <f>E76*L26/100</f>
        <v>12.412331181236032</v>
      </c>
      <c r="H76" s="52">
        <f>SUM(E76:F76:G76)</f>
        <v>935.42617049557759</v>
      </c>
      <c r="I76" s="52">
        <v>936</v>
      </c>
      <c r="J76" s="53">
        <f t="shared" si="6"/>
        <v>19.565004301581368</v>
      </c>
      <c r="K76" s="53">
        <f t="shared" si="7"/>
        <v>80.434995698418632</v>
      </c>
      <c r="L76" s="47">
        <v>1</v>
      </c>
      <c r="M76" s="47">
        <v>9</v>
      </c>
      <c r="N76" s="47">
        <v>1</v>
      </c>
      <c r="O76" s="47">
        <f t="shared" si="8"/>
        <v>9</v>
      </c>
      <c r="P76" s="74">
        <f t="shared" si="9"/>
        <v>69.604700854700852</v>
      </c>
    </row>
    <row r="77" spans="2:16" ht="15.75" x14ac:dyDescent="0.25">
      <c r="B77" s="19" t="s">
        <v>51</v>
      </c>
      <c r="C77" s="47" t="s">
        <v>41</v>
      </c>
      <c r="D77" s="51">
        <v>663.86</v>
      </c>
      <c r="E77" s="66">
        <v>767.33</v>
      </c>
      <c r="F77" s="52">
        <f>E77*J23/100</f>
        <v>173.98684762439862</v>
      </c>
      <c r="G77" s="52">
        <f>E77*L26/100</f>
        <v>12.658462919548976</v>
      </c>
      <c r="H77" s="52">
        <f>SUM(E77:F77:G77)</f>
        <v>953.97531054394756</v>
      </c>
      <c r="I77" s="52">
        <v>954</v>
      </c>
      <c r="J77" s="53">
        <f t="shared" si="6"/>
        <v>19.565004301581375</v>
      </c>
      <c r="K77" s="53">
        <f t="shared" si="7"/>
        <v>80.434995698418618</v>
      </c>
      <c r="L77" s="47">
        <v>1</v>
      </c>
      <c r="M77" s="47">
        <v>9</v>
      </c>
      <c r="N77" s="47">
        <v>1</v>
      </c>
      <c r="O77" s="47">
        <f t="shared" si="8"/>
        <v>9</v>
      </c>
      <c r="P77" s="74">
        <f t="shared" si="9"/>
        <v>69.587002096436052</v>
      </c>
    </row>
    <row r="78" spans="2:16" ht="15.75" x14ac:dyDescent="0.25">
      <c r="B78" s="19" t="s">
        <v>52</v>
      </c>
      <c r="C78" s="47" t="s">
        <v>41</v>
      </c>
      <c r="D78" s="51">
        <v>651.5</v>
      </c>
      <c r="E78" s="66">
        <v>752.41</v>
      </c>
      <c r="F78" s="52">
        <f>E78*J23/100</f>
        <v>170.6038393143416</v>
      </c>
      <c r="G78" s="52">
        <f>E78*L26/100</f>
        <v>12.412331181236032</v>
      </c>
      <c r="H78" s="52">
        <f>SUM(E78:F78:G78)</f>
        <v>935.42617049557759</v>
      </c>
      <c r="I78" s="52">
        <v>936</v>
      </c>
      <c r="J78" s="53">
        <f t="shared" si="6"/>
        <v>19.565004301581368</v>
      </c>
      <c r="K78" s="53">
        <f t="shared" si="7"/>
        <v>80.434995698418632</v>
      </c>
      <c r="L78" s="47">
        <v>1</v>
      </c>
      <c r="M78" s="47">
        <v>9</v>
      </c>
      <c r="N78" s="47">
        <v>1</v>
      </c>
      <c r="O78" s="47">
        <f t="shared" si="8"/>
        <v>9</v>
      </c>
      <c r="P78" s="74">
        <f t="shared" si="9"/>
        <v>69.604700854700852</v>
      </c>
    </row>
    <row r="79" spans="2:16" ht="17.649999999999999" customHeight="1" x14ac:dyDescent="0.25">
      <c r="B79" s="19" t="s">
        <v>53</v>
      </c>
      <c r="C79" s="47" t="s">
        <v>41</v>
      </c>
      <c r="D79" s="51">
        <v>663.86</v>
      </c>
      <c r="E79" s="66">
        <v>767.33</v>
      </c>
      <c r="F79" s="52">
        <f>E79*J23/100</f>
        <v>173.98684762439862</v>
      </c>
      <c r="G79" s="52">
        <f>E79*L26/100</f>
        <v>12.658462919548976</v>
      </c>
      <c r="H79" s="52">
        <f>SUM(E79:F79:G79)</f>
        <v>953.97531054394756</v>
      </c>
      <c r="I79" s="52">
        <v>954</v>
      </c>
      <c r="J79" s="53">
        <f t="shared" si="6"/>
        <v>19.565004301581375</v>
      </c>
      <c r="K79" s="53">
        <f t="shared" si="7"/>
        <v>80.434995698418618</v>
      </c>
      <c r="L79" s="47">
        <v>1</v>
      </c>
      <c r="M79" s="47">
        <v>9</v>
      </c>
      <c r="N79" s="47">
        <v>1</v>
      </c>
      <c r="O79" s="47">
        <f t="shared" si="8"/>
        <v>9</v>
      </c>
      <c r="P79" s="74">
        <f t="shared" si="9"/>
        <v>69.587002096436052</v>
      </c>
    </row>
    <row r="80" spans="2:16" ht="15.75" x14ac:dyDescent="0.25">
      <c r="B80" s="19" t="s">
        <v>54</v>
      </c>
      <c r="C80" s="47" t="s">
        <v>41</v>
      </c>
      <c r="D80" s="51">
        <v>659.92</v>
      </c>
      <c r="E80" s="66">
        <v>763.08</v>
      </c>
      <c r="F80" s="52">
        <f>E80*J23/100</f>
        <v>173.02318909103789</v>
      </c>
      <c r="G80" s="52">
        <f>E80*L26/100</f>
        <v>12.588351667013454</v>
      </c>
      <c r="H80" s="52">
        <f>SUM(E80:F80:G80)</f>
        <v>948.69154075805136</v>
      </c>
      <c r="I80" s="52">
        <v>949</v>
      </c>
      <c r="J80" s="53">
        <f t="shared" si="6"/>
        <v>19.565004301581375</v>
      </c>
      <c r="K80" s="53">
        <f t="shared" si="7"/>
        <v>80.434995698418618</v>
      </c>
      <c r="L80" s="47">
        <v>1</v>
      </c>
      <c r="M80" s="47">
        <v>9</v>
      </c>
      <c r="N80" s="47">
        <v>1</v>
      </c>
      <c r="O80" s="47">
        <f t="shared" si="8"/>
        <v>9</v>
      </c>
      <c r="P80" s="74">
        <f t="shared" si="9"/>
        <v>69.538461538461533</v>
      </c>
    </row>
    <row r="81" spans="2:16" ht="15.75" x14ac:dyDescent="0.25">
      <c r="B81" s="19" t="s">
        <v>55</v>
      </c>
      <c r="C81" s="47" t="s">
        <v>41</v>
      </c>
      <c r="D81" s="51">
        <v>665.33</v>
      </c>
      <c r="E81" s="66">
        <v>766.84</v>
      </c>
      <c r="F81" s="52">
        <f>E81*J23/100</f>
        <v>173.87574346408172</v>
      </c>
      <c r="G81" s="52">
        <f>E81*L26/100</f>
        <v>12.650379504550763</v>
      </c>
      <c r="H81" s="52">
        <f>SUM(E81:F81:G81)</f>
        <v>953.36612296863245</v>
      </c>
      <c r="I81" s="52">
        <v>954</v>
      </c>
      <c r="J81" s="53">
        <f t="shared" si="6"/>
        <v>19.565004301581371</v>
      </c>
      <c r="K81" s="53">
        <f t="shared" si="7"/>
        <v>80.434995698418632</v>
      </c>
      <c r="L81" s="47">
        <v>1</v>
      </c>
      <c r="M81" s="47">
        <v>9</v>
      </c>
      <c r="N81" s="47">
        <v>1</v>
      </c>
      <c r="O81" s="47">
        <f t="shared" si="8"/>
        <v>9</v>
      </c>
      <c r="P81" s="74">
        <f t="shared" si="9"/>
        <v>69.741090146750523</v>
      </c>
    </row>
    <row r="82" spans="2:16" ht="15.75" x14ac:dyDescent="0.25">
      <c r="B82" s="19" t="s">
        <v>56</v>
      </c>
      <c r="C82" s="47" t="s">
        <v>41</v>
      </c>
      <c r="D82" s="51">
        <v>659.92</v>
      </c>
      <c r="E82" s="66">
        <v>762.27</v>
      </c>
      <c r="F82" s="52">
        <f>E82*J23/100</f>
        <v>172.83952711173853</v>
      </c>
      <c r="G82" s="52">
        <f>E82*L26/100</f>
        <v>12.574989287118447</v>
      </c>
      <c r="H82" s="52">
        <f>SUM(E82:F82:G82)</f>
        <v>947.684516398857</v>
      </c>
      <c r="I82" s="52">
        <v>948</v>
      </c>
      <c r="J82" s="53">
        <f t="shared" si="6"/>
        <v>19.565004301581371</v>
      </c>
      <c r="K82" s="53">
        <f t="shared" si="7"/>
        <v>80.434995698418632</v>
      </c>
      <c r="L82" s="47">
        <v>1</v>
      </c>
      <c r="M82" s="47">
        <v>9</v>
      </c>
      <c r="N82" s="47">
        <v>1</v>
      </c>
      <c r="O82" s="47">
        <f t="shared" si="8"/>
        <v>9</v>
      </c>
      <c r="P82" s="74">
        <f t="shared" si="9"/>
        <v>69.611814345991547</v>
      </c>
    </row>
    <row r="83" spans="2:16" ht="15.75" x14ac:dyDescent="0.25">
      <c r="B83" s="19" t="s">
        <v>57</v>
      </c>
      <c r="C83" s="47" t="s">
        <v>59</v>
      </c>
      <c r="D83" s="51">
        <v>814.44</v>
      </c>
      <c r="E83" s="66">
        <v>928.16</v>
      </c>
      <c r="F83" s="52">
        <f>E83*J23/100</f>
        <v>210.45395395861206</v>
      </c>
      <c r="G83" s="52">
        <f>E83*L26/100</f>
        <v>15.311637683146206</v>
      </c>
      <c r="H83" s="52">
        <f>SUM(E83:F83:G83)</f>
        <v>1153.9255916417583</v>
      </c>
      <c r="I83" s="52">
        <v>1154</v>
      </c>
      <c r="J83" s="53">
        <f t="shared" si="6"/>
        <v>19.565004301581371</v>
      </c>
      <c r="K83" s="53">
        <f t="shared" si="7"/>
        <v>80.434995698418632</v>
      </c>
      <c r="L83" s="47">
        <v>1</v>
      </c>
      <c r="M83" s="47">
        <v>9</v>
      </c>
      <c r="N83" s="47">
        <v>1</v>
      </c>
      <c r="O83" s="47">
        <f t="shared" si="8"/>
        <v>9</v>
      </c>
      <c r="P83" s="74">
        <f t="shared" si="9"/>
        <v>70.575389948006944</v>
      </c>
    </row>
    <row r="84" spans="2:16" ht="16.5" thickBot="1" x14ac:dyDescent="0.3">
      <c r="B84" s="19" t="s">
        <v>58</v>
      </c>
      <c r="C84" s="47" t="s">
        <v>41</v>
      </c>
      <c r="D84" s="51">
        <v>659.92</v>
      </c>
      <c r="E84" s="67">
        <v>761.44</v>
      </c>
      <c r="F84" s="52">
        <f>E84*J23/100</f>
        <v>172.65133026875279</v>
      </c>
      <c r="G84" s="52">
        <f>E84*L26/100</f>
        <v>12.561296971917393</v>
      </c>
      <c r="H84" s="52">
        <f>SUM(E84:F84:G84)</f>
        <v>946.6526272406702</v>
      </c>
      <c r="I84" s="52">
        <v>947</v>
      </c>
      <c r="J84" s="53">
        <f t="shared" si="6"/>
        <v>19.565004301581371</v>
      </c>
      <c r="K84" s="53">
        <f t="shared" si="7"/>
        <v>80.434995698418632</v>
      </c>
      <c r="L84" s="47">
        <v>1</v>
      </c>
      <c r="M84" s="47">
        <v>9</v>
      </c>
      <c r="N84" s="47">
        <v>1</v>
      </c>
      <c r="O84" s="47">
        <f t="shared" si="8"/>
        <v>9</v>
      </c>
    </row>
    <row r="85" spans="2:16" ht="16.5" thickBot="1" x14ac:dyDescent="0.3">
      <c r="B85" s="29"/>
      <c r="C85" s="31"/>
      <c r="D85" s="54">
        <f t="shared" ref="D85:I85" si="10">SUM(D73:D84)</f>
        <v>8220.0499999999993</v>
      </c>
      <c r="E85" s="54">
        <f t="shared" si="10"/>
        <v>9469.17</v>
      </c>
      <c r="F85" s="54">
        <f t="shared" si="10"/>
        <v>2147.0697586690558</v>
      </c>
      <c r="G85" s="54">
        <f t="shared" si="10"/>
        <v>156.21067509924751</v>
      </c>
      <c r="H85" s="54">
        <f t="shared" si="10"/>
        <v>11772.450433768303</v>
      </c>
      <c r="I85" s="54">
        <f t="shared" si="10"/>
        <v>11776</v>
      </c>
      <c r="J85" s="55"/>
      <c r="K85" s="55"/>
      <c r="L85" s="55">
        <f>SUM(L73:L84)</f>
        <v>12</v>
      </c>
      <c r="M85" s="55">
        <v>9</v>
      </c>
      <c r="N85" s="55">
        <v>1</v>
      </c>
      <c r="O85" s="49">
        <f>SUM(O73:O84)</f>
        <v>108</v>
      </c>
      <c r="P85" s="75">
        <f>AVERAGE(P73:P83)</f>
        <v>69.783386798238922</v>
      </c>
    </row>
    <row r="86" spans="2:16" ht="15.75" x14ac:dyDescent="0.25">
      <c r="B86" s="56" t="s">
        <v>39</v>
      </c>
      <c r="C86" s="18"/>
      <c r="D86" s="14">
        <v>9</v>
      </c>
      <c r="E86" s="14">
        <v>9</v>
      </c>
      <c r="F86" s="14">
        <v>9</v>
      </c>
      <c r="G86" s="14">
        <v>9</v>
      </c>
      <c r="H86" s="57">
        <v>9</v>
      </c>
      <c r="I86" s="57">
        <v>9</v>
      </c>
      <c r="J86" s="58"/>
      <c r="K86" s="58"/>
      <c r="L86" s="58"/>
    </row>
    <row r="87" spans="2:16" ht="15.75" x14ac:dyDescent="0.25">
      <c r="B87" s="59"/>
      <c r="C87" s="59"/>
      <c r="D87" s="60">
        <f t="shared" ref="D87:I87" si="11">D85*D86</f>
        <v>73980.45</v>
      </c>
      <c r="E87" s="60">
        <f t="shared" si="11"/>
        <v>85222.53</v>
      </c>
      <c r="F87" s="60">
        <f t="shared" si="11"/>
        <v>19323.627828021501</v>
      </c>
      <c r="G87" s="60">
        <f t="shared" si="11"/>
        <v>1405.8960758932276</v>
      </c>
      <c r="H87" s="60">
        <f t="shared" si="11"/>
        <v>105952.05390391473</v>
      </c>
      <c r="I87" s="61">
        <f t="shared" si="11"/>
        <v>105984</v>
      </c>
      <c r="J87" s="58"/>
      <c r="K87" s="58"/>
      <c r="L87" s="58"/>
    </row>
    <row r="88" spans="2:16" x14ac:dyDescent="0.2">
      <c r="H88" s="58"/>
      <c r="I88" s="58"/>
      <c r="J88" s="58"/>
      <c r="K88" s="58"/>
      <c r="L88" s="58"/>
    </row>
    <row r="89" spans="2:16" x14ac:dyDescent="0.2">
      <c r="H89" s="58"/>
      <c r="I89" s="58"/>
      <c r="J89" s="58"/>
      <c r="K89" s="58"/>
      <c r="L89" s="58"/>
    </row>
    <row r="90" spans="2:16" x14ac:dyDescent="0.2">
      <c r="H90" s="58"/>
      <c r="I90" s="58"/>
      <c r="J90" s="58"/>
      <c r="K90" s="58"/>
      <c r="L90" s="58"/>
    </row>
    <row r="91" spans="2:16" ht="18" x14ac:dyDescent="0.25">
      <c r="B91" s="43" t="s">
        <v>64</v>
      </c>
      <c r="H91" s="58"/>
      <c r="I91" s="58"/>
      <c r="J91" s="58"/>
      <c r="K91" s="58"/>
      <c r="L91" s="58"/>
    </row>
    <row r="92" spans="2:16" ht="18" x14ac:dyDescent="0.25">
      <c r="B92" s="43"/>
      <c r="H92" s="58"/>
      <c r="I92" s="58"/>
      <c r="J92" s="58"/>
      <c r="K92" s="58"/>
      <c r="L92" s="58"/>
    </row>
    <row r="93" spans="2:16" ht="13.5" thickBot="1" x14ac:dyDescent="0.25">
      <c r="H93" s="58"/>
      <c r="I93" s="58"/>
      <c r="J93" s="58"/>
      <c r="K93" s="58"/>
      <c r="L93" s="58"/>
    </row>
    <row r="94" spans="2:16" ht="15.75" x14ac:dyDescent="0.25">
      <c r="B94" s="7"/>
      <c r="C94" s="44"/>
      <c r="D94" s="44"/>
      <c r="E94" s="44"/>
      <c r="F94" s="44"/>
      <c r="G94" s="44"/>
      <c r="H94" s="44"/>
      <c r="I94" s="44"/>
      <c r="J94" s="44"/>
      <c r="K94" s="45"/>
      <c r="L94" s="7"/>
      <c r="M94" s="44"/>
      <c r="N94" s="44"/>
      <c r="O94" s="44"/>
    </row>
    <row r="95" spans="2:16" ht="15.75" x14ac:dyDescent="0.25">
      <c r="B95" s="46"/>
      <c r="C95" s="47"/>
      <c r="D95" s="47" t="s">
        <v>20</v>
      </c>
      <c r="E95" s="47" t="s">
        <v>21</v>
      </c>
      <c r="F95" s="47" t="s">
        <v>22</v>
      </c>
      <c r="G95" s="47" t="s">
        <v>23</v>
      </c>
      <c r="H95" s="47" t="s">
        <v>24</v>
      </c>
      <c r="I95" s="47" t="s">
        <v>25</v>
      </c>
      <c r="J95" s="47" t="s">
        <v>26</v>
      </c>
      <c r="K95" s="46" t="s">
        <v>21</v>
      </c>
      <c r="L95" s="47" t="s">
        <v>27</v>
      </c>
      <c r="M95" s="47" t="s">
        <v>27</v>
      </c>
      <c r="N95" s="47" t="s">
        <v>27</v>
      </c>
      <c r="O95" s="47" t="s">
        <v>28</v>
      </c>
    </row>
    <row r="96" spans="2:16" ht="15.75" x14ac:dyDescent="0.25">
      <c r="B96" s="46" t="s">
        <v>29</v>
      </c>
      <c r="C96" s="47" t="s">
        <v>30</v>
      </c>
      <c r="D96" s="47" t="s">
        <v>8</v>
      </c>
      <c r="E96" s="47" t="s">
        <v>8</v>
      </c>
      <c r="F96" s="47" t="s">
        <v>8</v>
      </c>
      <c r="G96" s="47"/>
      <c r="H96" s="47" t="s">
        <v>8</v>
      </c>
      <c r="I96" s="47" t="s">
        <v>31</v>
      </c>
      <c r="J96" s="47" t="s">
        <v>32</v>
      </c>
      <c r="K96" s="46" t="s">
        <v>8</v>
      </c>
      <c r="L96" s="47" t="s">
        <v>33</v>
      </c>
      <c r="M96" s="47" t="s">
        <v>34</v>
      </c>
      <c r="N96" s="47" t="s">
        <v>35</v>
      </c>
      <c r="O96" s="47" t="s">
        <v>36</v>
      </c>
    </row>
    <row r="97" spans="2:16" ht="15.75" x14ac:dyDescent="0.25">
      <c r="B97" s="46"/>
      <c r="C97" s="47"/>
      <c r="D97" s="47"/>
      <c r="E97" s="47"/>
      <c r="F97" s="47"/>
      <c r="G97" s="47"/>
      <c r="H97" s="47"/>
      <c r="I97" s="47" t="s">
        <v>8</v>
      </c>
      <c r="J97" s="35" t="s">
        <v>8</v>
      </c>
      <c r="K97" s="46" t="s">
        <v>16</v>
      </c>
      <c r="L97" s="47" t="s">
        <v>37</v>
      </c>
      <c r="M97" s="47"/>
      <c r="N97" s="47"/>
      <c r="O97" s="47"/>
    </row>
    <row r="98" spans="2:16" ht="15.75" x14ac:dyDescent="0.25">
      <c r="B98" s="15"/>
      <c r="C98" s="48"/>
      <c r="D98" s="48"/>
      <c r="E98" s="48"/>
      <c r="F98" s="48"/>
      <c r="G98" s="48"/>
      <c r="H98" s="48"/>
      <c r="I98" s="48"/>
      <c r="J98" s="47" t="s">
        <v>16</v>
      </c>
      <c r="K98" s="48"/>
      <c r="L98" s="48"/>
      <c r="M98" s="48"/>
      <c r="N98" s="48"/>
      <c r="O98" s="48"/>
    </row>
    <row r="99" spans="2:16" ht="19.5" thickBot="1" x14ac:dyDescent="0.3">
      <c r="B99" s="15"/>
      <c r="C99" s="48" t="s">
        <v>45</v>
      </c>
      <c r="D99" s="48"/>
      <c r="E99" s="48"/>
      <c r="F99" s="48"/>
      <c r="G99" s="48"/>
      <c r="H99" s="48"/>
      <c r="I99" s="48"/>
      <c r="J99" s="49"/>
      <c r="K99" s="48"/>
      <c r="L99" s="48"/>
      <c r="M99" s="48"/>
      <c r="N99" s="48"/>
      <c r="O99" s="48"/>
    </row>
    <row r="100" spans="2:16" ht="15.75" x14ac:dyDescent="0.25">
      <c r="B100" s="19" t="s">
        <v>47</v>
      </c>
      <c r="C100" s="47" t="s">
        <v>59</v>
      </c>
      <c r="D100" s="51">
        <v>814.44</v>
      </c>
      <c r="E100" s="68">
        <v>928.16</v>
      </c>
      <c r="F100" s="52">
        <f>E100*J23/100</f>
        <v>210.45395395861206</v>
      </c>
      <c r="G100" s="52">
        <f>E100*L26/100</f>
        <v>15.311637683146206</v>
      </c>
      <c r="H100" s="52">
        <f>SUM(E100:F100:G100)</f>
        <v>1153.9255916417583</v>
      </c>
      <c r="I100" s="52">
        <v>1154</v>
      </c>
      <c r="J100" s="53">
        <f t="shared" ref="J100:J111" si="12">((F100+G100)/H100)*100</f>
        <v>19.565004301581371</v>
      </c>
      <c r="K100" s="53">
        <f t="shared" ref="K100:K111" si="13">100-J100</f>
        <v>80.434995698418632</v>
      </c>
      <c r="L100" s="47">
        <v>1</v>
      </c>
      <c r="M100" s="47">
        <v>9</v>
      </c>
      <c r="N100" s="47">
        <v>1</v>
      </c>
      <c r="O100" s="47">
        <f t="shared" ref="O100:O111" si="14">L100*M100*N100</f>
        <v>9</v>
      </c>
      <c r="P100" s="74">
        <f>D100/I100*100</f>
        <v>70.575389948006944</v>
      </c>
    </row>
    <row r="101" spans="2:16" ht="15.75" x14ac:dyDescent="0.25">
      <c r="B101" s="19" t="s">
        <v>48</v>
      </c>
      <c r="C101" s="47" t="s">
        <v>41</v>
      </c>
      <c r="D101" s="51">
        <v>651.5</v>
      </c>
      <c r="E101" s="66">
        <v>752.41</v>
      </c>
      <c r="F101" s="52">
        <f>E101*J23/100</f>
        <v>170.6038393143416</v>
      </c>
      <c r="G101" s="52">
        <f>E101*L26/100</f>
        <v>12.412331181236032</v>
      </c>
      <c r="H101" s="52">
        <f>SUM(E101:F101:G101)</f>
        <v>935.42617049557759</v>
      </c>
      <c r="I101" s="52">
        <v>936</v>
      </c>
      <c r="J101" s="53">
        <f t="shared" si="12"/>
        <v>19.565004301581368</v>
      </c>
      <c r="K101" s="53">
        <f t="shared" si="13"/>
        <v>80.434995698418632</v>
      </c>
      <c r="L101" s="47">
        <v>1</v>
      </c>
      <c r="M101" s="47">
        <v>9</v>
      </c>
      <c r="N101" s="47">
        <v>1</v>
      </c>
      <c r="O101" s="47">
        <f t="shared" si="14"/>
        <v>9</v>
      </c>
      <c r="P101" s="74">
        <f t="shared" ref="P101:P111" si="15">D101/I101*100</f>
        <v>69.604700854700852</v>
      </c>
    </row>
    <row r="102" spans="2:16" ht="15.75" x14ac:dyDescent="0.25">
      <c r="B102" s="19" t="s">
        <v>49</v>
      </c>
      <c r="C102" s="47" t="s">
        <v>41</v>
      </c>
      <c r="D102" s="51">
        <v>663.86</v>
      </c>
      <c r="E102" s="66">
        <v>767.33</v>
      </c>
      <c r="F102" s="52">
        <f>E102*J23/100</f>
        <v>173.98684762439862</v>
      </c>
      <c r="G102" s="52">
        <f>E102*L26/100</f>
        <v>12.658462919548976</v>
      </c>
      <c r="H102" s="52">
        <f>SUM(E102:F102:G102)</f>
        <v>953.97531054394756</v>
      </c>
      <c r="I102" s="52">
        <v>954</v>
      </c>
      <c r="J102" s="53">
        <f t="shared" si="12"/>
        <v>19.565004301581375</v>
      </c>
      <c r="K102" s="53">
        <f t="shared" si="13"/>
        <v>80.434995698418618</v>
      </c>
      <c r="L102" s="47">
        <v>1</v>
      </c>
      <c r="M102" s="47">
        <v>9</v>
      </c>
      <c r="N102" s="47">
        <v>1</v>
      </c>
      <c r="O102" s="47">
        <f t="shared" si="14"/>
        <v>9</v>
      </c>
      <c r="P102" s="74">
        <f t="shared" si="15"/>
        <v>69.587002096436052</v>
      </c>
    </row>
    <row r="103" spans="2:16" ht="15.75" x14ac:dyDescent="0.25">
      <c r="B103" s="19" t="s">
        <v>50</v>
      </c>
      <c r="C103" s="47" t="s">
        <v>41</v>
      </c>
      <c r="D103" s="51">
        <v>651.5</v>
      </c>
      <c r="E103" s="66">
        <v>752.41</v>
      </c>
      <c r="F103" s="52">
        <f>E103*J23/100</f>
        <v>170.6038393143416</v>
      </c>
      <c r="G103" s="52">
        <f>E103*L26/100</f>
        <v>12.412331181236032</v>
      </c>
      <c r="H103" s="52">
        <f>SUM(E103:F103:G103)</f>
        <v>935.42617049557759</v>
      </c>
      <c r="I103" s="52">
        <v>936</v>
      </c>
      <c r="J103" s="53">
        <f t="shared" si="12"/>
        <v>19.565004301581368</v>
      </c>
      <c r="K103" s="53">
        <f t="shared" si="13"/>
        <v>80.434995698418632</v>
      </c>
      <c r="L103" s="47">
        <v>1</v>
      </c>
      <c r="M103" s="47">
        <v>9</v>
      </c>
      <c r="N103" s="47">
        <v>1</v>
      </c>
      <c r="O103" s="47">
        <f t="shared" si="14"/>
        <v>9</v>
      </c>
      <c r="P103" s="74">
        <f t="shared" si="15"/>
        <v>69.604700854700852</v>
      </c>
    </row>
    <row r="104" spans="2:16" ht="15.75" x14ac:dyDescent="0.25">
      <c r="B104" s="19" t="s">
        <v>51</v>
      </c>
      <c r="C104" s="47" t="s">
        <v>41</v>
      </c>
      <c r="D104" s="51">
        <v>663.86</v>
      </c>
      <c r="E104" s="66">
        <v>767.33</v>
      </c>
      <c r="F104" s="52">
        <f>E104*J23/100</f>
        <v>173.98684762439862</v>
      </c>
      <c r="G104" s="52">
        <f>E104*L26/100</f>
        <v>12.658462919548976</v>
      </c>
      <c r="H104" s="52">
        <f>SUM(E104:F104:G104)</f>
        <v>953.97531054394756</v>
      </c>
      <c r="I104" s="52">
        <v>954</v>
      </c>
      <c r="J104" s="53">
        <f t="shared" si="12"/>
        <v>19.565004301581375</v>
      </c>
      <c r="K104" s="53">
        <f t="shared" si="13"/>
        <v>80.434995698418618</v>
      </c>
      <c r="L104" s="47">
        <v>1</v>
      </c>
      <c r="M104" s="47">
        <v>9</v>
      </c>
      <c r="N104" s="47">
        <v>1</v>
      </c>
      <c r="O104" s="47">
        <f t="shared" si="14"/>
        <v>9</v>
      </c>
      <c r="P104" s="74">
        <f t="shared" si="15"/>
        <v>69.587002096436052</v>
      </c>
    </row>
    <row r="105" spans="2:16" ht="15.75" x14ac:dyDescent="0.25">
      <c r="B105" s="19" t="s">
        <v>52</v>
      </c>
      <c r="C105" s="47" t="s">
        <v>41</v>
      </c>
      <c r="D105" s="51">
        <v>651.5</v>
      </c>
      <c r="E105" s="66">
        <v>756.08</v>
      </c>
      <c r="F105" s="52">
        <f>E105*J23/100</f>
        <v>171.43598680079668</v>
      </c>
      <c r="G105" s="52">
        <f>E105*L26/100</f>
        <v>12.47287430989612</v>
      </c>
      <c r="H105" s="52">
        <f>SUM(E105:F105:G105)</f>
        <v>939.98886111069294</v>
      </c>
      <c r="I105" s="52">
        <v>940</v>
      </c>
      <c r="J105" s="53">
        <f t="shared" si="12"/>
        <v>19.565004301581371</v>
      </c>
      <c r="K105" s="53">
        <f t="shared" si="13"/>
        <v>80.434995698418632</v>
      </c>
      <c r="L105" s="47">
        <v>1</v>
      </c>
      <c r="M105" s="47">
        <v>9</v>
      </c>
      <c r="N105" s="47">
        <v>1</v>
      </c>
      <c r="O105" s="47">
        <f t="shared" si="14"/>
        <v>9</v>
      </c>
      <c r="P105" s="74">
        <f t="shared" si="15"/>
        <v>69.308510638297875</v>
      </c>
    </row>
    <row r="106" spans="2:16" ht="15.75" x14ac:dyDescent="0.25">
      <c r="B106" s="19" t="s">
        <v>53</v>
      </c>
      <c r="C106" s="47" t="s">
        <v>38</v>
      </c>
      <c r="D106" s="51">
        <v>968.97</v>
      </c>
      <c r="E106" s="66">
        <v>1055.23</v>
      </c>
      <c r="F106" s="52">
        <f>E106*J23/100</f>
        <v>239.26621039017652</v>
      </c>
      <c r="G106" s="52">
        <f>E106*L26/100</f>
        <v>17.407881650131841</v>
      </c>
      <c r="H106" s="52">
        <f>SUM(E106:F106:G106)</f>
        <v>1311.9040920403086</v>
      </c>
      <c r="I106" s="52">
        <v>1312</v>
      </c>
      <c r="J106" s="53">
        <f t="shared" si="12"/>
        <v>19.565004301581371</v>
      </c>
      <c r="K106" s="53">
        <f t="shared" si="13"/>
        <v>80.434995698418632</v>
      </c>
      <c r="L106" s="47">
        <v>1</v>
      </c>
      <c r="M106" s="47">
        <v>9</v>
      </c>
      <c r="N106" s="47">
        <v>1</v>
      </c>
      <c r="O106" s="47">
        <f t="shared" si="14"/>
        <v>9</v>
      </c>
      <c r="P106" s="74">
        <f t="shared" si="15"/>
        <v>73.854420731707322</v>
      </c>
    </row>
    <row r="107" spans="2:16" ht="15.75" x14ac:dyDescent="0.25">
      <c r="B107" s="19" t="s">
        <v>54</v>
      </c>
      <c r="C107" s="47" t="s">
        <v>38</v>
      </c>
      <c r="D107" s="51">
        <v>948.02</v>
      </c>
      <c r="E107" s="66">
        <v>1078.5</v>
      </c>
      <c r="F107" s="52">
        <f>E107*J23/100</f>
        <v>244.54252428930693</v>
      </c>
      <c r="G107" s="52">
        <f>E107*L26/100</f>
        <v>17.791761378720459</v>
      </c>
      <c r="H107" s="52">
        <f>SUM(E107:F107:G107)</f>
        <v>1340.8342856680274</v>
      </c>
      <c r="I107" s="52">
        <v>1341</v>
      </c>
      <c r="J107" s="53">
        <f t="shared" si="12"/>
        <v>19.565004301581371</v>
      </c>
      <c r="K107" s="53">
        <f t="shared" si="13"/>
        <v>80.434995698418632</v>
      </c>
      <c r="L107" s="47">
        <v>1</v>
      </c>
      <c r="M107" s="47">
        <v>9</v>
      </c>
      <c r="N107" s="47">
        <v>1</v>
      </c>
      <c r="O107" s="47">
        <f t="shared" si="14"/>
        <v>9</v>
      </c>
      <c r="P107" s="74">
        <f t="shared" si="15"/>
        <v>70.695003728560778</v>
      </c>
    </row>
    <row r="108" spans="2:16" ht="15.75" x14ac:dyDescent="0.25">
      <c r="B108" s="19" t="s">
        <v>55</v>
      </c>
      <c r="C108" s="47" t="s">
        <v>59</v>
      </c>
      <c r="D108" s="51">
        <v>814.44</v>
      </c>
      <c r="E108" s="66">
        <v>923.41</v>
      </c>
      <c r="F108" s="52">
        <f>E108*J23/100</f>
        <v>209.37692383309124</v>
      </c>
      <c r="G108" s="52">
        <f>E108*L26/100</f>
        <v>15.233278047959443</v>
      </c>
      <c r="H108" s="52">
        <f>SUM(E108:F108:G108)</f>
        <v>1148.0202018810505</v>
      </c>
      <c r="I108" s="52">
        <v>1148</v>
      </c>
      <c r="J108" s="53">
        <f t="shared" si="12"/>
        <v>19.565004301581371</v>
      </c>
      <c r="K108" s="53">
        <f t="shared" si="13"/>
        <v>80.434995698418632</v>
      </c>
      <c r="L108" s="47">
        <v>1</v>
      </c>
      <c r="M108" s="47">
        <v>9</v>
      </c>
      <c r="N108" s="47">
        <v>1</v>
      </c>
      <c r="O108" s="47">
        <f t="shared" si="14"/>
        <v>9</v>
      </c>
      <c r="P108" s="74">
        <f t="shared" si="15"/>
        <v>70.944250871080143</v>
      </c>
    </row>
    <row r="109" spans="2:16" ht="15.75" x14ac:dyDescent="0.25">
      <c r="B109" s="19" t="s">
        <v>56</v>
      </c>
      <c r="C109" s="47" t="s">
        <v>41</v>
      </c>
      <c r="D109" s="51">
        <v>659.92</v>
      </c>
      <c r="E109" s="66">
        <v>761.44</v>
      </c>
      <c r="F109" s="52">
        <f>E109*J23/100</f>
        <v>172.65133026875279</v>
      </c>
      <c r="G109" s="52">
        <f>E109*L26/100</f>
        <v>12.561296971917393</v>
      </c>
      <c r="H109" s="52">
        <f>SUM(E109:F109:G109)</f>
        <v>946.6526272406702</v>
      </c>
      <c r="I109" s="52">
        <v>947</v>
      </c>
      <c r="J109" s="53">
        <f t="shared" si="12"/>
        <v>19.565004301581371</v>
      </c>
      <c r="K109" s="53">
        <f t="shared" si="13"/>
        <v>80.434995698418632</v>
      </c>
      <c r="L109" s="47">
        <v>1</v>
      </c>
      <c r="M109" s="47">
        <v>9</v>
      </c>
      <c r="N109" s="47">
        <v>1</v>
      </c>
      <c r="O109" s="47">
        <f t="shared" si="14"/>
        <v>9</v>
      </c>
      <c r="P109" s="74">
        <f t="shared" si="15"/>
        <v>69.685322069693768</v>
      </c>
    </row>
    <row r="110" spans="2:16" ht="15.75" x14ac:dyDescent="0.25">
      <c r="B110" s="19" t="s">
        <v>57</v>
      </c>
      <c r="C110" s="47" t="s">
        <v>59</v>
      </c>
      <c r="D110" s="51">
        <v>814.44</v>
      </c>
      <c r="E110" s="66">
        <v>928.16</v>
      </c>
      <c r="F110" s="52">
        <f>E110*J23/100</f>
        <v>210.45395395861206</v>
      </c>
      <c r="G110" s="52">
        <f>E110*L26/100</f>
        <v>15.311637683146206</v>
      </c>
      <c r="H110" s="52">
        <f>SUM(E110:F110:G110)</f>
        <v>1153.9255916417583</v>
      </c>
      <c r="I110" s="52">
        <v>1154</v>
      </c>
      <c r="J110" s="53">
        <f t="shared" si="12"/>
        <v>19.565004301581371</v>
      </c>
      <c r="K110" s="53">
        <f t="shared" si="13"/>
        <v>80.434995698418632</v>
      </c>
      <c r="L110" s="47">
        <v>1</v>
      </c>
      <c r="M110" s="47">
        <v>9</v>
      </c>
      <c r="N110" s="47">
        <v>1</v>
      </c>
      <c r="O110" s="47">
        <f t="shared" si="14"/>
        <v>9</v>
      </c>
      <c r="P110" s="74">
        <f t="shared" si="15"/>
        <v>70.575389948006944</v>
      </c>
    </row>
    <row r="111" spans="2:16" ht="15.75" x14ac:dyDescent="0.25">
      <c r="B111" s="19" t="s">
        <v>58</v>
      </c>
      <c r="C111" s="47" t="s">
        <v>41</v>
      </c>
      <c r="D111" s="51">
        <v>659.92</v>
      </c>
      <c r="E111" s="66">
        <v>761.44</v>
      </c>
      <c r="F111" s="52">
        <f>E111*J23/100</f>
        <v>172.65133026875279</v>
      </c>
      <c r="G111" s="52">
        <f>E111*L26/100</f>
        <v>12.561296971917393</v>
      </c>
      <c r="H111" s="52">
        <f>SUM(E111:F111:G111)</f>
        <v>946.6526272406702</v>
      </c>
      <c r="I111" s="52">
        <v>947</v>
      </c>
      <c r="J111" s="53">
        <f t="shared" si="12"/>
        <v>19.565004301581371</v>
      </c>
      <c r="K111" s="53">
        <f t="shared" si="13"/>
        <v>80.434995698418632</v>
      </c>
      <c r="L111" s="47">
        <v>1</v>
      </c>
      <c r="M111" s="47">
        <v>9</v>
      </c>
      <c r="N111" s="47">
        <v>1</v>
      </c>
      <c r="O111" s="47">
        <f t="shared" si="14"/>
        <v>9</v>
      </c>
      <c r="P111" s="74">
        <f t="shared" si="15"/>
        <v>69.685322069693768</v>
      </c>
    </row>
    <row r="112" spans="2:16" ht="16.5" thickBot="1" x14ac:dyDescent="0.3">
      <c r="B112" s="19"/>
      <c r="C112" s="27"/>
      <c r="D112" s="27"/>
      <c r="E112" s="14"/>
      <c r="F112" s="27"/>
      <c r="G112" s="27"/>
      <c r="H112" s="27"/>
      <c r="I112" s="27"/>
      <c r="J112" s="47"/>
      <c r="K112" s="47"/>
      <c r="L112" s="47"/>
      <c r="M112" s="47"/>
      <c r="N112" s="47"/>
      <c r="O112" s="47"/>
      <c r="P112" s="71"/>
    </row>
    <row r="113" spans="2:16" ht="16.5" thickBot="1" x14ac:dyDescent="0.3">
      <c r="B113" s="29"/>
      <c r="C113" s="31"/>
      <c r="D113" s="54">
        <f t="shared" ref="D113:I113" si="16">SUM(D100:D111)</f>
        <v>8962.3700000000008</v>
      </c>
      <c r="E113" s="54">
        <f t="shared" si="16"/>
        <v>10231.900000000001</v>
      </c>
      <c r="F113" s="54">
        <f t="shared" si="16"/>
        <v>2320.0135876455815</v>
      </c>
      <c r="G113" s="54">
        <f t="shared" si="16"/>
        <v>168.79325289840506</v>
      </c>
      <c r="H113" s="54">
        <f t="shared" si="16"/>
        <v>12720.706840543986</v>
      </c>
      <c r="I113" s="54">
        <f t="shared" si="16"/>
        <v>12723</v>
      </c>
      <c r="J113" s="55"/>
      <c r="K113" s="55"/>
      <c r="L113" s="55">
        <f>SUM(L100:L111)</f>
        <v>12</v>
      </c>
      <c r="M113" s="55">
        <v>9</v>
      </c>
      <c r="N113" s="55">
        <v>1</v>
      </c>
      <c r="O113" s="49">
        <f>SUM(O100:O112)</f>
        <v>108</v>
      </c>
      <c r="P113" s="75">
        <f>AVERAGE(P100:P111)</f>
        <v>70.308917992276761</v>
      </c>
    </row>
    <row r="114" spans="2:16" ht="16.5" thickBot="1" x14ac:dyDescent="0.3">
      <c r="B114" s="56" t="s">
        <v>39</v>
      </c>
      <c r="C114" s="18"/>
      <c r="D114" s="14">
        <v>9</v>
      </c>
      <c r="E114" s="14">
        <v>9</v>
      </c>
      <c r="F114" s="14">
        <v>9</v>
      </c>
      <c r="G114" s="14">
        <v>9</v>
      </c>
      <c r="H114" s="57">
        <v>9</v>
      </c>
      <c r="I114" s="57">
        <v>9</v>
      </c>
      <c r="J114" s="58"/>
      <c r="K114" s="58"/>
      <c r="L114" s="58"/>
    </row>
    <row r="115" spans="2:16" ht="15.75" x14ac:dyDescent="0.25">
      <c r="B115" s="59"/>
      <c r="C115" s="59"/>
      <c r="D115" s="60">
        <f t="shared" ref="D115:I115" si="17">D113*D114</f>
        <v>80661.33</v>
      </c>
      <c r="E115" s="60">
        <f t="shared" si="17"/>
        <v>92087.1</v>
      </c>
      <c r="F115" s="60">
        <f t="shared" si="17"/>
        <v>20880.122288810235</v>
      </c>
      <c r="G115" s="60">
        <f t="shared" si="17"/>
        <v>1519.1392760856456</v>
      </c>
      <c r="H115" s="60">
        <f t="shared" si="17"/>
        <v>114486.36156489587</v>
      </c>
      <c r="I115" s="61">
        <f t="shared" si="17"/>
        <v>114507</v>
      </c>
      <c r="J115" s="58"/>
      <c r="K115" s="58"/>
      <c r="L115" s="58"/>
    </row>
    <row r="116" spans="2:16" x14ac:dyDescent="0.2">
      <c r="H116" s="58"/>
      <c r="I116" s="58"/>
      <c r="J116" s="58"/>
      <c r="K116" s="58"/>
      <c r="L116" s="58"/>
    </row>
    <row r="117" spans="2:16" x14ac:dyDescent="0.2">
      <c r="H117" s="58"/>
      <c r="I117" s="58"/>
      <c r="J117" s="58"/>
      <c r="K117" s="58"/>
      <c r="L117" s="58"/>
    </row>
    <row r="118" spans="2:16" x14ac:dyDescent="0.2">
      <c r="H118" s="58"/>
      <c r="I118" s="58"/>
      <c r="J118" s="58"/>
      <c r="K118" s="58"/>
      <c r="L118" s="58"/>
    </row>
    <row r="119" spans="2:16" x14ac:dyDescent="0.2">
      <c r="H119" s="58"/>
      <c r="I119" s="58"/>
      <c r="J119" s="58"/>
      <c r="K119" s="58"/>
      <c r="L119" s="58"/>
    </row>
    <row r="120" spans="2:16" x14ac:dyDescent="0.2">
      <c r="H120" s="58"/>
      <c r="I120" s="58"/>
      <c r="J120" s="58"/>
      <c r="K120" s="58"/>
      <c r="L120" s="58"/>
    </row>
    <row r="121" spans="2:16" x14ac:dyDescent="0.2">
      <c r="H121" s="58"/>
      <c r="I121" s="58"/>
      <c r="J121" s="58"/>
      <c r="K121" s="58"/>
      <c r="L121" s="58"/>
    </row>
    <row r="122" spans="2:16" x14ac:dyDescent="0.2">
      <c r="H122" s="58"/>
      <c r="I122" s="58"/>
      <c r="J122" s="58"/>
      <c r="K122" s="58"/>
      <c r="L122" s="58"/>
    </row>
    <row r="123" spans="2:16" x14ac:dyDescent="0.2">
      <c r="H123" s="58"/>
      <c r="I123" s="58"/>
      <c r="J123" s="58"/>
      <c r="K123" s="58"/>
      <c r="L123" s="58"/>
    </row>
    <row r="124" spans="2:16" x14ac:dyDescent="0.2">
      <c r="H124" s="58"/>
      <c r="I124" s="58"/>
      <c r="J124" s="58"/>
      <c r="K124" s="58"/>
      <c r="L124" s="58"/>
    </row>
    <row r="125" spans="2:16" x14ac:dyDescent="0.2">
      <c r="H125" s="58"/>
      <c r="I125" s="58"/>
      <c r="J125" s="58"/>
      <c r="K125" s="58"/>
      <c r="L125" s="58"/>
    </row>
    <row r="126" spans="2:16" x14ac:dyDescent="0.2">
      <c r="H126" s="58"/>
      <c r="I126" s="58"/>
      <c r="J126" s="58"/>
      <c r="K126" s="58"/>
      <c r="L126" s="58"/>
    </row>
    <row r="127" spans="2:16" ht="18" x14ac:dyDescent="0.25">
      <c r="B127" s="43" t="s">
        <v>65</v>
      </c>
      <c r="H127" s="58"/>
      <c r="I127" s="58"/>
      <c r="J127" s="58"/>
      <c r="K127" s="58"/>
      <c r="L127" s="58"/>
    </row>
    <row r="128" spans="2:16" x14ac:dyDescent="0.2">
      <c r="H128" s="58"/>
      <c r="I128" s="58"/>
      <c r="J128" s="58"/>
      <c r="K128" s="58"/>
      <c r="L128" s="58"/>
    </row>
    <row r="129" spans="2:16" ht="15.75" x14ac:dyDescent="0.25">
      <c r="B129" s="7"/>
      <c r="C129" s="44"/>
      <c r="D129" s="44"/>
      <c r="E129" s="44"/>
      <c r="F129" s="44"/>
      <c r="G129" s="44"/>
      <c r="H129" s="44"/>
      <c r="I129" s="44"/>
      <c r="J129" s="44"/>
      <c r="K129" s="45"/>
      <c r="L129" s="7"/>
      <c r="M129" s="44"/>
      <c r="N129" s="44"/>
      <c r="O129" s="44"/>
    </row>
    <row r="130" spans="2:16" ht="15.75" x14ac:dyDescent="0.25">
      <c r="B130" s="46"/>
      <c r="C130" s="47"/>
      <c r="D130" s="47" t="s">
        <v>20</v>
      </c>
      <c r="E130" s="47" t="s">
        <v>21</v>
      </c>
      <c r="F130" s="47" t="s">
        <v>22</v>
      </c>
      <c r="G130" s="47" t="s">
        <v>23</v>
      </c>
      <c r="H130" s="47" t="s">
        <v>24</v>
      </c>
      <c r="I130" s="47" t="s">
        <v>25</v>
      </c>
      <c r="J130" s="47" t="s">
        <v>26</v>
      </c>
      <c r="K130" s="46" t="s">
        <v>21</v>
      </c>
      <c r="L130" s="47" t="s">
        <v>27</v>
      </c>
      <c r="M130" s="47" t="s">
        <v>27</v>
      </c>
      <c r="N130" s="47" t="s">
        <v>27</v>
      </c>
      <c r="O130" s="47" t="s">
        <v>28</v>
      </c>
    </row>
    <row r="131" spans="2:16" ht="15.75" x14ac:dyDescent="0.25">
      <c r="B131" s="46" t="s">
        <v>29</v>
      </c>
      <c r="C131" s="47" t="s">
        <v>30</v>
      </c>
      <c r="D131" s="47" t="s">
        <v>8</v>
      </c>
      <c r="E131" s="47" t="s">
        <v>8</v>
      </c>
      <c r="F131" s="47" t="s">
        <v>8</v>
      </c>
      <c r="G131" s="47"/>
      <c r="H131" s="47" t="s">
        <v>8</v>
      </c>
      <c r="I131" s="47" t="s">
        <v>31</v>
      </c>
      <c r="J131" s="47" t="s">
        <v>32</v>
      </c>
      <c r="K131" s="46" t="s">
        <v>8</v>
      </c>
      <c r="L131" s="47" t="s">
        <v>33</v>
      </c>
      <c r="M131" s="47" t="s">
        <v>34</v>
      </c>
      <c r="N131" s="47" t="s">
        <v>35</v>
      </c>
      <c r="O131" s="47" t="s">
        <v>36</v>
      </c>
    </row>
    <row r="132" spans="2:16" ht="15.75" x14ac:dyDescent="0.25">
      <c r="B132" s="46"/>
      <c r="C132" s="47"/>
      <c r="D132" s="47"/>
      <c r="E132" s="47"/>
      <c r="F132" s="47"/>
      <c r="G132" s="47"/>
      <c r="H132" s="47"/>
      <c r="I132" s="47" t="s">
        <v>8</v>
      </c>
      <c r="J132" s="35" t="s">
        <v>8</v>
      </c>
      <c r="K132" s="46" t="s">
        <v>16</v>
      </c>
      <c r="L132" s="47" t="s">
        <v>37</v>
      </c>
      <c r="M132" s="47"/>
      <c r="N132" s="47"/>
      <c r="O132" s="47"/>
    </row>
    <row r="133" spans="2:16" ht="15.75" x14ac:dyDescent="0.25">
      <c r="B133" s="15"/>
      <c r="C133" s="48"/>
      <c r="D133" s="48"/>
      <c r="E133" s="48"/>
      <c r="F133" s="48"/>
      <c r="G133" s="48"/>
      <c r="H133" s="48"/>
      <c r="I133" s="48"/>
      <c r="J133" s="47" t="s">
        <v>16</v>
      </c>
      <c r="K133" s="48"/>
      <c r="L133" s="48"/>
      <c r="M133" s="48"/>
      <c r="N133" s="48"/>
      <c r="O133" s="48"/>
    </row>
    <row r="134" spans="2:16" ht="19.5" thickBot="1" x14ac:dyDescent="0.3">
      <c r="B134" s="15"/>
      <c r="C134" s="48" t="s">
        <v>45</v>
      </c>
      <c r="D134" s="48"/>
      <c r="E134" s="48"/>
      <c r="F134" s="48"/>
      <c r="G134" s="48"/>
      <c r="H134" s="48"/>
      <c r="I134" s="48"/>
      <c r="J134" s="49"/>
      <c r="K134" s="48"/>
      <c r="L134" s="48"/>
      <c r="M134" s="48"/>
      <c r="N134" s="48"/>
      <c r="O134" s="48"/>
    </row>
    <row r="135" spans="2:16" ht="15.75" x14ac:dyDescent="0.25">
      <c r="B135" s="19" t="s">
        <v>47</v>
      </c>
      <c r="C135" s="47" t="s">
        <v>59</v>
      </c>
      <c r="D135" s="51">
        <v>814.44</v>
      </c>
      <c r="E135" s="68">
        <v>928.16</v>
      </c>
      <c r="F135" s="52">
        <f>E135*J23/100</f>
        <v>210.45395395861206</v>
      </c>
      <c r="G135" s="52">
        <f>E135*L26/100</f>
        <v>15.311637683146206</v>
      </c>
      <c r="H135" s="52">
        <f>SUM(E135:F135:G135)</f>
        <v>1153.9255916417583</v>
      </c>
      <c r="I135" s="52">
        <v>1154</v>
      </c>
      <c r="J135" s="53">
        <f t="shared" ref="J135:J144" si="18">((F135+G135)/H135)*100</f>
        <v>19.565004301581371</v>
      </c>
      <c r="K135" s="53">
        <f t="shared" ref="K135:K144" si="19">100-J135</f>
        <v>80.434995698418632</v>
      </c>
      <c r="L135" s="47">
        <v>1</v>
      </c>
      <c r="M135" s="47">
        <v>9</v>
      </c>
      <c r="N135" s="47">
        <v>1</v>
      </c>
      <c r="O135" s="47">
        <f t="shared" ref="O135:O144" si="20">L135*M135</f>
        <v>9</v>
      </c>
      <c r="P135" s="74">
        <f>D135/I135*100</f>
        <v>70.575389948006944</v>
      </c>
    </row>
    <row r="136" spans="2:16" ht="15.75" x14ac:dyDescent="0.25">
      <c r="B136" s="19" t="s">
        <v>48</v>
      </c>
      <c r="C136" s="47" t="s">
        <v>41</v>
      </c>
      <c r="D136" s="51">
        <v>651.5</v>
      </c>
      <c r="E136" s="66">
        <v>752.41</v>
      </c>
      <c r="F136" s="52">
        <f>E136*J23/100</f>
        <v>170.6038393143416</v>
      </c>
      <c r="G136" s="52">
        <f>E136*L26/100</f>
        <v>12.412331181236032</v>
      </c>
      <c r="H136" s="52">
        <f>SUM(E136:F136:G136)</f>
        <v>935.42617049557759</v>
      </c>
      <c r="I136" s="52">
        <v>936</v>
      </c>
      <c r="J136" s="53">
        <f t="shared" si="18"/>
        <v>19.565004301581368</v>
      </c>
      <c r="K136" s="53">
        <f t="shared" si="19"/>
        <v>80.434995698418632</v>
      </c>
      <c r="L136" s="47">
        <v>1</v>
      </c>
      <c r="M136" s="47">
        <v>9</v>
      </c>
      <c r="N136" s="47">
        <v>1</v>
      </c>
      <c r="O136" s="47">
        <f t="shared" si="20"/>
        <v>9</v>
      </c>
      <c r="P136" s="74">
        <f t="shared" ref="P136:P144" si="21">D136/I136*100</f>
        <v>69.604700854700852</v>
      </c>
    </row>
    <row r="137" spans="2:16" ht="15.75" x14ac:dyDescent="0.25">
      <c r="B137" s="19" t="s">
        <v>49</v>
      </c>
      <c r="C137" s="47" t="s">
        <v>59</v>
      </c>
      <c r="D137" s="51">
        <v>814.44</v>
      </c>
      <c r="E137" s="66">
        <v>909.94</v>
      </c>
      <c r="F137" s="52">
        <f>E137*J23/100</f>
        <v>206.32269314029855</v>
      </c>
      <c r="G137" s="52">
        <f>E137*L26/100</f>
        <v>15.011066619335089</v>
      </c>
      <c r="H137" s="52">
        <f>SUM(E137:F137:G137)</f>
        <v>1131.2737597596335</v>
      </c>
      <c r="I137" s="52">
        <v>1132</v>
      </c>
      <c r="J137" s="53">
        <f t="shared" si="18"/>
        <v>19.565004301581375</v>
      </c>
      <c r="K137" s="53">
        <f t="shared" si="19"/>
        <v>80.434995698418618</v>
      </c>
      <c r="L137" s="47">
        <v>1</v>
      </c>
      <c r="M137" s="47">
        <v>9</v>
      </c>
      <c r="N137" s="47">
        <v>1</v>
      </c>
      <c r="O137" s="47">
        <f t="shared" si="20"/>
        <v>9</v>
      </c>
      <c r="P137" s="74">
        <f t="shared" si="21"/>
        <v>71.946996466431102</v>
      </c>
    </row>
    <row r="138" spans="2:16" ht="15.75" x14ac:dyDescent="0.25">
      <c r="B138" s="19" t="s">
        <v>50</v>
      </c>
      <c r="C138" s="47" t="s">
        <v>41</v>
      </c>
      <c r="D138" s="51">
        <v>651.5</v>
      </c>
      <c r="E138" s="66">
        <v>752.41</v>
      </c>
      <c r="F138" s="52">
        <f>E138*J23/100</f>
        <v>170.6038393143416</v>
      </c>
      <c r="G138" s="52">
        <f>E138*L26/100</f>
        <v>12.412331181236032</v>
      </c>
      <c r="H138" s="52">
        <f>SUM(E138:F138:G138)</f>
        <v>935.42617049557759</v>
      </c>
      <c r="I138" s="52">
        <v>936</v>
      </c>
      <c r="J138" s="53">
        <f t="shared" si="18"/>
        <v>19.565004301581368</v>
      </c>
      <c r="K138" s="53">
        <f t="shared" si="19"/>
        <v>80.434995698418632</v>
      </c>
      <c r="L138" s="47">
        <v>1</v>
      </c>
      <c r="M138" s="47">
        <v>9</v>
      </c>
      <c r="N138" s="47">
        <v>1</v>
      </c>
      <c r="O138" s="47">
        <f t="shared" si="20"/>
        <v>9</v>
      </c>
      <c r="P138" s="74">
        <f t="shared" si="21"/>
        <v>69.604700854700852</v>
      </c>
    </row>
    <row r="139" spans="2:16" ht="15.75" x14ac:dyDescent="0.25">
      <c r="B139" s="19" t="s">
        <v>51</v>
      </c>
      <c r="C139" s="47" t="s">
        <v>59</v>
      </c>
      <c r="D139" s="51">
        <v>814.44</v>
      </c>
      <c r="E139" s="66">
        <v>909.3</v>
      </c>
      <c r="F139" s="52">
        <f>E139*J23/100</f>
        <v>206.17757750233358</v>
      </c>
      <c r="G139" s="52">
        <f>E139*L26/100</f>
        <v>15.000508689541505</v>
      </c>
      <c r="H139" s="52">
        <f>SUM(E139:F139:G139)</f>
        <v>1130.478086191875</v>
      </c>
      <c r="I139" s="52">
        <v>1131</v>
      </c>
      <c r="J139" s="53">
        <f t="shared" si="18"/>
        <v>19.565004301581368</v>
      </c>
      <c r="K139" s="53">
        <f t="shared" si="19"/>
        <v>80.434995698418632</v>
      </c>
      <c r="L139" s="47">
        <v>1</v>
      </c>
      <c r="M139" s="47">
        <v>9</v>
      </c>
      <c r="N139" s="47">
        <v>1</v>
      </c>
      <c r="O139" s="47">
        <f t="shared" si="20"/>
        <v>9</v>
      </c>
      <c r="P139" s="74">
        <f t="shared" si="21"/>
        <v>72.010610079575599</v>
      </c>
    </row>
    <row r="140" spans="2:16" ht="15.75" x14ac:dyDescent="0.25">
      <c r="B140" s="19" t="s">
        <v>52</v>
      </c>
      <c r="C140" s="47" t="s">
        <v>38</v>
      </c>
      <c r="D140" s="51">
        <v>950.46</v>
      </c>
      <c r="E140" s="66">
        <v>1083.69</v>
      </c>
      <c r="F140" s="52">
        <f>E140*J23/100</f>
        <v>245.71932141592865</v>
      </c>
      <c r="G140" s="52">
        <f>E140*L26/100</f>
        <v>17.877379590640309</v>
      </c>
      <c r="H140" s="52">
        <f>SUM(E140:F140:G140)</f>
        <v>1347.2867010065688</v>
      </c>
      <c r="I140" s="52">
        <v>1348</v>
      </c>
      <c r="J140" s="53">
        <f t="shared" si="18"/>
        <v>19.565004301581371</v>
      </c>
      <c r="K140" s="53">
        <f t="shared" si="19"/>
        <v>80.434995698418632</v>
      </c>
      <c r="L140" s="47">
        <v>1</v>
      </c>
      <c r="M140" s="47">
        <v>9</v>
      </c>
      <c r="N140" s="47">
        <v>1</v>
      </c>
      <c r="O140" s="47">
        <f t="shared" si="20"/>
        <v>9</v>
      </c>
      <c r="P140" s="74">
        <f t="shared" si="21"/>
        <v>70.508902077151333</v>
      </c>
    </row>
    <row r="141" spans="2:16" ht="15.75" x14ac:dyDescent="0.25">
      <c r="B141" s="19" t="s">
        <v>53</v>
      </c>
      <c r="C141" s="47" t="s">
        <v>38</v>
      </c>
      <c r="D141" s="51">
        <v>950.46</v>
      </c>
      <c r="E141" s="66">
        <v>1083.69</v>
      </c>
      <c r="F141" s="52">
        <f>E141*J23/100</f>
        <v>245.71932141592865</v>
      </c>
      <c r="G141" s="52">
        <f>E141*L26/100</f>
        <v>17.877379590640309</v>
      </c>
      <c r="H141" s="52">
        <f>SUM(E141:F141:G141)</f>
        <v>1347.2867010065688</v>
      </c>
      <c r="I141" s="52">
        <v>1348</v>
      </c>
      <c r="J141" s="53">
        <f t="shared" si="18"/>
        <v>19.565004301581371</v>
      </c>
      <c r="K141" s="53">
        <f t="shared" si="19"/>
        <v>80.434995698418632</v>
      </c>
      <c r="L141" s="47">
        <v>1</v>
      </c>
      <c r="M141" s="47">
        <v>9</v>
      </c>
      <c r="N141" s="47">
        <v>1</v>
      </c>
      <c r="O141" s="47">
        <f t="shared" si="20"/>
        <v>9</v>
      </c>
      <c r="P141" s="74">
        <f t="shared" si="21"/>
        <v>70.508902077151333</v>
      </c>
    </row>
    <row r="142" spans="2:16" ht="15.75" x14ac:dyDescent="0.25">
      <c r="B142" s="19" t="s">
        <v>54</v>
      </c>
      <c r="C142" s="47" t="s">
        <v>41</v>
      </c>
      <c r="D142" s="51">
        <v>659.92</v>
      </c>
      <c r="E142" s="66">
        <v>761.44</v>
      </c>
      <c r="F142" s="52">
        <f>E142*J23/100</f>
        <v>172.65133026875279</v>
      </c>
      <c r="G142" s="52">
        <f>E142*L26/100</f>
        <v>12.561296971917393</v>
      </c>
      <c r="H142" s="52">
        <f>SUM(E142:F142:G142)</f>
        <v>946.6526272406702</v>
      </c>
      <c r="I142" s="52">
        <v>947</v>
      </c>
      <c r="J142" s="53">
        <f t="shared" si="18"/>
        <v>19.565004301581371</v>
      </c>
      <c r="K142" s="53">
        <f t="shared" si="19"/>
        <v>80.434995698418632</v>
      </c>
      <c r="L142" s="47">
        <v>1</v>
      </c>
      <c r="M142" s="47">
        <v>9</v>
      </c>
      <c r="N142" s="47">
        <v>1</v>
      </c>
      <c r="O142" s="47">
        <f t="shared" si="20"/>
        <v>9</v>
      </c>
      <c r="P142" s="74">
        <f t="shared" si="21"/>
        <v>69.685322069693768</v>
      </c>
    </row>
    <row r="143" spans="2:16" ht="15.75" x14ac:dyDescent="0.25">
      <c r="B143" s="19" t="s">
        <v>55</v>
      </c>
      <c r="C143" s="47" t="s">
        <v>59</v>
      </c>
      <c r="D143" s="51">
        <v>814.44</v>
      </c>
      <c r="E143" s="66">
        <v>928.16</v>
      </c>
      <c r="F143" s="52">
        <f>E143*J23/100</f>
        <v>210.45395395861206</v>
      </c>
      <c r="G143" s="52">
        <f>E143*L26/100</f>
        <v>15.311637683146206</v>
      </c>
      <c r="H143" s="52">
        <f>SUM(E143:F143:G143)</f>
        <v>1153.9255916417583</v>
      </c>
      <c r="I143" s="52">
        <v>1154</v>
      </c>
      <c r="J143" s="53">
        <f t="shared" si="18"/>
        <v>19.565004301581371</v>
      </c>
      <c r="K143" s="53">
        <f t="shared" si="19"/>
        <v>80.434995698418632</v>
      </c>
      <c r="L143" s="47">
        <v>1</v>
      </c>
      <c r="M143" s="47">
        <v>9</v>
      </c>
      <c r="N143" s="47">
        <v>1</v>
      </c>
      <c r="O143" s="47">
        <f t="shared" si="20"/>
        <v>9</v>
      </c>
      <c r="P143" s="74">
        <f t="shared" si="21"/>
        <v>70.575389948006944</v>
      </c>
    </row>
    <row r="144" spans="2:16" ht="16.5" thickBot="1" x14ac:dyDescent="0.3">
      <c r="B144" s="19" t="s">
        <v>56</v>
      </c>
      <c r="C144" s="47" t="s">
        <v>41</v>
      </c>
      <c r="D144" s="51">
        <v>659.92</v>
      </c>
      <c r="E144" s="67">
        <v>761.44</v>
      </c>
      <c r="F144" s="52">
        <f>E144*J23/100</f>
        <v>172.65133026875279</v>
      </c>
      <c r="G144" s="52">
        <f>E144*L26/100</f>
        <v>12.561296971917393</v>
      </c>
      <c r="H144" s="52">
        <f>SUM(E144:F144:G144)</f>
        <v>946.6526272406702</v>
      </c>
      <c r="I144" s="52">
        <v>947</v>
      </c>
      <c r="J144" s="53">
        <f t="shared" si="18"/>
        <v>19.565004301581371</v>
      </c>
      <c r="K144" s="53">
        <f t="shared" si="19"/>
        <v>80.434995698418632</v>
      </c>
      <c r="L144" s="47">
        <v>1</v>
      </c>
      <c r="M144" s="47">
        <v>9</v>
      </c>
      <c r="N144" s="47">
        <v>1</v>
      </c>
      <c r="O144" s="47">
        <f t="shared" si="20"/>
        <v>9</v>
      </c>
      <c r="P144" s="74">
        <f t="shared" si="21"/>
        <v>69.685322069693768</v>
      </c>
    </row>
    <row r="145" spans="2:16" ht="16.5" thickBot="1" x14ac:dyDescent="0.3">
      <c r="B145" s="29"/>
      <c r="C145" s="31"/>
      <c r="D145" s="54">
        <f t="shared" ref="D145:I145" si="22">SUM(D135:D144)</f>
        <v>7781.52</v>
      </c>
      <c r="E145" s="54">
        <f t="shared" si="22"/>
        <v>8870.6400000000012</v>
      </c>
      <c r="F145" s="54">
        <f t="shared" si="22"/>
        <v>2011.3571605579023</v>
      </c>
      <c r="G145" s="54">
        <f t="shared" si="22"/>
        <v>146.33686616275648</v>
      </c>
      <c r="H145" s="54">
        <f t="shared" si="22"/>
        <v>11028.334026720659</v>
      </c>
      <c r="I145" s="54">
        <f t="shared" si="22"/>
        <v>11033</v>
      </c>
      <c r="J145" s="55"/>
      <c r="K145" s="55"/>
      <c r="L145" s="55">
        <f>SUM(L135:L144)</f>
        <v>10</v>
      </c>
      <c r="M145" s="55">
        <v>9</v>
      </c>
      <c r="N145" s="55">
        <v>1</v>
      </c>
      <c r="O145" s="49">
        <f>SUM(O135:O144)</f>
        <v>90</v>
      </c>
    </row>
    <row r="146" spans="2:16" ht="16.5" thickBot="1" x14ac:dyDescent="0.3">
      <c r="B146" s="56" t="s">
        <v>39</v>
      </c>
      <c r="C146" s="18"/>
      <c r="D146" s="14">
        <v>9</v>
      </c>
      <c r="E146" s="14">
        <v>9</v>
      </c>
      <c r="F146" s="14">
        <v>9</v>
      </c>
      <c r="G146" s="14">
        <v>9</v>
      </c>
      <c r="H146" s="57">
        <v>9</v>
      </c>
      <c r="I146" s="57">
        <v>9</v>
      </c>
      <c r="J146" s="58"/>
      <c r="K146" s="58"/>
      <c r="L146" s="58"/>
      <c r="P146" s="75">
        <f>AVERAGE(P135:P145)</f>
        <v>70.470623644511235</v>
      </c>
    </row>
    <row r="147" spans="2:16" ht="16.5" thickBot="1" x14ac:dyDescent="0.3">
      <c r="B147" s="59"/>
      <c r="C147" s="59"/>
      <c r="D147" s="60">
        <f t="shared" ref="D147:I147" si="23">D145*D146</f>
        <v>70033.680000000008</v>
      </c>
      <c r="E147" s="60">
        <f t="shared" si="23"/>
        <v>79835.760000000009</v>
      </c>
      <c r="F147" s="60">
        <f t="shared" si="23"/>
        <v>18102.21444502112</v>
      </c>
      <c r="G147" s="60">
        <f t="shared" si="23"/>
        <v>1317.0317954648083</v>
      </c>
      <c r="H147" s="60">
        <f t="shared" si="23"/>
        <v>99255.006240485935</v>
      </c>
      <c r="I147" s="61">
        <f t="shared" si="23"/>
        <v>99297</v>
      </c>
      <c r="J147" s="58"/>
      <c r="K147" s="58"/>
      <c r="L147" s="58"/>
    </row>
    <row r="148" spans="2:16" x14ac:dyDescent="0.2">
      <c r="H148" s="58"/>
      <c r="I148" s="58"/>
      <c r="J148" s="58"/>
      <c r="K148" s="58"/>
      <c r="L148" s="58"/>
    </row>
    <row r="149" spans="2:16" ht="18" x14ac:dyDescent="0.25">
      <c r="B149" s="43" t="s">
        <v>66</v>
      </c>
      <c r="H149" s="58"/>
      <c r="I149" s="58"/>
      <c r="J149" s="58"/>
      <c r="K149" s="58"/>
      <c r="L149" s="58"/>
    </row>
    <row r="150" spans="2:16" x14ac:dyDescent="0.2">
      <c r="H150" s="58"/>
      <c r="I150" s="58"/>
      <c r="J150" s="58"/>
      <c r="K150" s="58"/>
      <c r="L150" s="58"/>
    </row>
    <row r="151" spans="2:16" ht="15.75" x14ac:dyDescent="0.25">
      <c r="B151" s="7"/>
      <c r="C151" s="44"/>
      <c r="D151" s="44"/>
      <c r="E151" s="44"/>
      <c r="F151" s="44"/>
      <c r="G151" s="44"/>
      <c r="H151" s="44"/>
      <c r="I151" s="44"/>
      <c r="J151" s="44"/>
      <c r="K151" s="45"/>
      <c r="L151" s="7"/>
      <c r="M151" s="44"/>
      <c r="N151" s="44"/>
      <c r="O151" s="44"/>
    </row>
    <row r="152" spans="2:16" ht="15.75" x14ac:dyDescent="0.25">
      <c r="B152" s="46"/>
      <c r="C152" s="47"/>
      <c r="D152" s="47" t="s">
        <v>20</v>
      </c>
      <c r="E152" s="47" t="s">
        <v>21</v>
      </c>
      <c r="F152" s="47" t="s">
        <v>22</v>
      </c>
      <c r="G152" s="47" t="s">
        <v>23</v>
      </c>
      <c r="H152" s="47" t="s">
        <v>24</v>
      </c>
      <c r="I152" s="47" t="s">
        <v>25</v>
      </c>
      <c r="J152" s="47" t="s">
        <v>26</v>
      </c>
      <c r="K152" s="46" t="s">
        <v>21</v>
      </c>
      <c r="L152" s="47" t="s">
        <v>27</v>
      </c>
      <c r="M152" s="47" t="s">
        <v>27</v>
      </c>
      <c r="N152" s="47" t="s">
        <v>27</v>
      </c>
      <c r="O152" s="47" t="s">
        <v>28</v>
      </c>
    </row>
    <row r="153" spans="2:16" ht="15.75" x14ac:dyDescent="0.25">
      <c r="B153" s="46" t="s">
        <v>29</v>
      </c>
      <c r="C153" s="47" t="s">
        <v>30</v>
      </c>
      <c r="D153" s="47" t="s">
        <v>8</v>
      </c>
      <c r="E153" s="47" t="s">
        <v>8</v>
      </c>
      <c r="F153" s="47" t="s">
        <v>8</v>
      </c>
      <c r="G153" s="47"/>
      <c r="H153" s="47" t="s">
        <v>8</v>
      </c>
      <c r="I153" s="47" t="s">
        <v>31</v>
      </c>
      <c r="J153" s="47" t="s">
        <v>32</v>
      </c>
      <c r="K153" s="46" t="s">
        <v>8</v>
      </c>
      <c r="L153" s="47" t="s">
        <v>33</v>
      </c>
      <c r="M153" s="47" t="s">
        <v>34</v>
      </c>
      <c r="N153" s="47" t="s">
        <v>35</v>
      </c>
      <c r="O153" s="47" t="s">
        <v>36</v>
      </c>
    </row>
    <row r="154" spans="2:16" ht="15.75" x14ac:dyDescent="0.25">
      <c r="B154" s="46"/>
      <c r="C154" s="47"/>
      <c r="D154" s="47"/>
      <c r="E154" s="47"/>
      <c r="F154" s="47"/>
      <c r="G154" s="47"/>
      <c r="H154" s="47"/>
      <c r="I154" s="47" t="s">
        <v>8</v>
      </c>
      <c r="J154" s="35" t="s">
        <v>8</v>
      </c>
      <c r="K154" s="46" t="s">
        <v>16</v>
      </c>
      <c r="L154" s="47" t="s">
        <v>37</v>
      </c>
      <c r="M154" s="47"/>
      <c r="N154" s="47"/>
      <c r="O154" s="47"/>
    </row>
    <row r="155" spans="2:16" ht="15.75" x14ac:dyDescent="0.25">
      <c r="B155" s="15"/>
      <c r="C155" s="48"/>
      <c r="D155" s="48"/>
      <c r="E155" s="48"/>
      <c r="F155" s="48"/>
      <c r="G155" s="48"/>
      <c r="H155" s="48"/>
      <c r="I155" s="48"/>
      <c r="J155" s="47" t="s">
        <v>16</v>
      </c>
      <c r="K155" s="48"/>
      <c r="L155" s="48"/>
      <c r="M155" s="48"/>
      <c r="N155" s="48"/>
      <c r="O155" s="48"/>
    </row>
    <row r="156" spans="2:16" ht="19.5" thickBot="1" x14ac:dyDescent="0.3">
      <c r="B156" s="15"/>
      <c r="C156" s="48" t="s">
        <v>46</v>
      </c>
      <c r="D156" s="48"/>
      <c r="E156" s="48"/>
      <c r="F156" s="48"/>
      <c r="G156" s="48"/>
      <c r="H156" s="48"/>
      <c r="I156" s="48"/>
      <c r="J156" s="49"/>
      <c r="K156" s="48"/>
      <c r="L156" s="48"/>
      <c r="M156" s="48"/>
      <c r="N156" s="48"/>
      <c r="O156" s="48"/>
    </row>
    <row r="157" spans="2:16" ht="15.75" x14ac:dyDescent="0.25">
      <c r="B157" s="50"/>
      <c r="C157" s="47"/>
      <c r="D157" s="27"/>
      <c r="E157" s="47"/>
      <c r="F157" s="47"/>
      <c r="G157" s="47"/>
      <c r="H157" s="47"/>
      <c r="I157" s="47"/>
      <c r="J157" s="7"/>
      <c r="K157" s="47"/>
      <c r="L157" s="47"/>
      <c r="M157" s="47"/>
      <c r="N157" s="47"/>
      <c r="O157" s="47"/>
    </row>
    <row r="158" spans="2:16" ht="15.75" x14ac:dyDescent="0.25">
      <c r="B158" s="19" t="s">
        <v>47</v>
      </c>
      <c r="C158" s="47" t="s">
        <v>59</v>
      </c>
      <c r="D158" s="69">
        <v>814.44</v>
      </c>
      <c r="E158" s="66">
        <v>924.91</v>
      </c>
      <c r="F158" s="52">
        <f>E158*J23/100</f>
        <v>209.71703860957149</v>
      </c>
      <c r="G158" s="52">
        <f>E158*L26/100</f>
        <v>15.258023195913156</v>
      </c>
      <c r="H158" s="52">
        <f>SUM(E158:F158:G158)</f>
        <v>1149.8850618054846</v>
      </c>
      <c r="I158" s="52">
        <v>1150</v>
      </c>
      <c r="J158" s="53">
        <f>((F158+G158)/H158)*100</f>
        <v>19.565004301581368</v>
      </c>
      <c r="K158" s="53">
        <f>100-J158</f>
        <v>80.434995698418632</v>
      </c>
      <c r="L158" s="47">
        <v>1</v>
      </c>
      <c r="M158" s="47">
        <v>9</v>
      </c>
      <c r="N158" s="47">
        <v>1</v>
      </c>
      <c r="O158" s="47">
        <f>L158*M158*N158</f>
        <v>9</v>
      </c>
      <c r="P158" s="73">
        <f>D158/I158*100</f>
        <v>70.820869565217393</v>
      </c>
    </row>
    <row r="159" spans="2:16" ht="15.75" x14ac:dyDescent="0.25">
      <c r="B159" s="19" t="s">
        <v>48</v>
      </c>
      <c r="C159" s="47" t="s">
        <v>41</v>
      </c>
      <c r="D159" s="69">
        <v>651.5</v>
      </c>
      <c r="E159" s="66">
        <v>752.91</v>
      </c>
      <c r="F159" s="52">
        <f>E159*J23/100</f>
        <v>170.71721090650172</v>
      </c>
      <c r="G159" s="52">
        <f>E159*L26/100</f>
        <v>12.420579563887269</v>
      </c>
      <c r="H159" s="52">
        <f>SUM(E159:F159:G159)</f>
        <v>936.04779047038892</v>
      </c>
      <c r="I159" s="52">
        <v>936</v>
      </c>
      <c r="J159" s="53">
        <f>((F159+G159)/H159)*100</f>
        <v>19.565004301581371</v>
      </c>
      <c r="K159" s="53">
        <f>100-J159</f>
        <v>80.434995698418632</v>
      </c>
      <c r="L159" s="47">
        <v>1</v>
      </c>
      <c r="M159" s="47">
        <v>9</v>
      </c>
      <c r="N159" s="47">
        <v>1</v>
      </c>
      <c r="O159" s="47">
        <f>L159*M159*N159</f>
        <v>9</v>
      </c>
      <c r="P159" s="73">
        <f>D159/I159*100</f>
        <v>69.604700854700852</v>
      </c>
    </row>
    <row r="160" spans="2:16" ht="15.75" x14ac:dyDescent="0.25">
      <c r="B160" s="19" t="s">
        <v>49</v>
      </c>
      <c r="C160" s="47" t="s">
        <v>41</v>
      </c>
      <c r="D160" s="69">
        <v>663.86</v>
      </c>
      <c r="E160" s="66">
        <v>767.33</v>
      </c>
      <c r="F160" s="52">
        <f>E160*J23/100</f>
        <v>173.98684762439862</v>
      </c>
      <c r="G160" s="52">
        <f>E160*L26/100</f>
        <v>12.658462919548976</v>
      </c>
      <c r="H160" s="52">
        <f>SUM(E160:F160:G160)</f>
        <v>953.97531054394756</v>
      </c>
      <c r="I160" s="52">
        <v>954</v>
      </c>
      <c r="J160" s="53">
        <f>((F160+G160)/H160)*100</f>
        <v>19.565004301581375</v>
      </c>
      <c r="K160" s="53">
        <f>100-J160</f>
        <v>80.434995698418618</v>
      </c>
      <c r="L160" s="47">
        <v>1</v>
      </c>
      <c r="M160" s="47">
        <v>9</v>
      </c>
      <c r="N160" s="47">
        <v>1</v>
      </c>
      <c r="O160" s="47">
        <f>L160*M160*N160</f>
        <v>9</v>
      </c>
      <c r="P160" s="73">
        <f>D160/I160*100</f>
        <v>69.587002096436052</v>
      </c>
    </row>
    <row r="161" spans="2:16" ht="15.75" x14ac:dyDescent="0.25">
      <c r="B161" s="19" t="s">
        <v>50</v>
      </c>
      <c r="C161" s="47" t="s">
        <v>41</v>
      </c>
      <c r="D161" s="69">
        <v>651.5</v>
      </c>
      <c r="E161" s="66">
        <v>757.02</v>
      </c>
      <c r="F161" s="52">
        <f>E161*J23/100</f>
        <v>171.64912539405762</v>
      </c>
      <c r="G161" s="52">
        <f>E161*L26/100</f>
        <v>12.488381269280445</v>
      </c>
      <c r="H161" s="52">
        <f>SUM(E161:F161:G161)</f>
        <v>941.15750666333804</v>
      </c>
      <c r="I161" s="52">
        <v>942</v>
      </c>
      <c r="J161" s="53">
        <f>((F161+G161)/H161)*100</f>
        <v>19.565004301581371</v>
      </c>
      <c r="K161" s="53">
        <f>100-J161</f>
        <v>80.434995698418632</v>
      </c>
      <c r="L161" s="47">
        <v>1</v>
      </c>
      <c r="M161" s="47">
        <v>9</v>
      </c>
      <c r="N161" s="47">
        <v>1</v>
      </c>
      <c r="O161" s="47">
        <f>L161*M161*N161</f>
        <v>9</v>
      </c>
      <c r="P161" s="73">
        <f>D161/I161*100</f>
        <v>69.161358811040344</v>
      </c>
    </row>
    <row r="162" spans="2:16" ht="16.5" thickBot="1" x14ac:dyDescent="0.3">
      <c r="B162" s="19" t="s">
        <v>51</v>
      </c>
      <c r="C162" s="47" t="s">
        <v>38</v>
      </c>
      <c r="D162" s="69">
        <v>948.02</v>
      </c>
      <c r="E162" s="67">
        <v>1078.5</v>
      </c>
      <c r="F162" s="52">
        <f>E162*J23/100</f>
        <v>244.54252428930693</v>
      </c>
      <c r="G162" s="52">
        <f>E162*L26/100</f>
        <v>17.791761378720459</v>
      </c>
      <c r="H162" s="52">
        <f>SUM(E162:F162:G162)</f>
        <v>1340.8342856680274</v>
      </c>
      <c r="I162" s="52">
        <v>1341</v>
      </c>
      <c r="J162" s="53">
        <f>((F162+G162)/H162)*100</f>
        <v>19.565004301581371</v>
      </c>
      <c r="K162" s="53">
        <f>100-J162</f>
        <v>80.434995698418632</v>
      </c>
      <c r="L162" s="47">
        <v>1</v>
      </c>
      <c r="M162" s="47">
        <v>9</v>
      </c>
      <c r="N162" s="47">
        <v>1</v>
      </c>
      <c r="O162" s="47">
        <f>L162*M162*N162</f>
        <v>9</v>
      </c>
      <c r="P162" s="73">
        <f>D162/I162*100</f>
        <v>70.695003728560778</v>
      </c>
    </row>
    <row r="163" spans="2:16" ht="16.5" thickBot="1" x14ac:dyDescent="0.3">
      <c r="B163" s="29"/>
      <c r="C163" s="31"/>
      <c r="D163" s="54">
        <f t="shared" ref="D163:I163" si="24">SUM(D158:D162)</f>
        <v>3729.32</v>
      </c>
      <c r="E163" s="54">
        <f t="shared" si="24"/>
        <v>4280.67</v>
      </c>
      <c r="F163" s="54">
        <f t="shared" si="24"/>
        <v>970.61274682383635</v>
      </c>
      <c r="G163" s="54">
        <f t="shared" si="24"/>
        <v>70.617208327350312</v>
      </c>
      <c r="H163" s="54">
        <f t="shared" si="24"/>
        <v>5321.8999551511861</v>
      </c>
      <c r="I163" s="54">
        <f t="shared" si="24"/>
        <v>5323</v>
      </c>
      <c r="J163" s="55"/>
      <c r="K163" s="55"/>
      <c r="L163" s="55">
        <f>SUM(L158:L161)</f>
        <v>4</v>
      </c>
      <c r="M163" s="55">
        <v>9</v>
      </c>
      <c r="N163" s="55">
        <v>1</v>
      </c>
      <c r="O163" s="49">
        <f>SUM(O158:O162)</f>
        <v>45</v>
      </c>
    </row>
    <row r="164" spans="2:16" ht="15.75" x14ac:dyDescent="0.25">
      <c r="B164" s="56" t="s">
        <v>39</v>
      </c>
      <c r="C164" s="18"/>
      <c r="D164" s="14">
        <v>9</v>
      </c>
      <c r="E164" s="14">
        <v>9</v>
      </c>
      <c r="F164" s="14">
        <v>9</v>
      </c>
      <c r="G164" s="14">
        <v>9</v>
      </c>
      <c r="H164" s="57">
        <v>9</v>
      </c>
      <c r="I164" s="57">
        <v>9</v>
      </c>
      <c r="J164" s="58"/>
      <c r="K164" s="58"/>
      <c r="L164" s="58"/>
      <c r="P164" s="75">
        <f>AVERAGE(P158:P162)</f>
        <v>69.973787011191078</v>
      </c>
    </row>
    <row r="165" spans="2:16" ht="15.75" x14ac:dyDescent="0.25">
      <c r="B165" s="59"/>
      <c r="C165" s="59"/>
      <c r="D165" s="60">
        <f t="shared" ref="D165:I165" si="25">D163*D164</f>
        <v>33563.880000000005</v>
      </c>
      <c r="E165" s="60">
        <f t="shared" si="25"/>
        <v>38526.03</v>
      </c>
      <c r="F165" s="60">
        <f t="shared" si="25"/>
        <v>8735.5147214145272</v>
      </c>
      <c r="G165" s="60">
        <f t="shared" si="25"/>
        <v>635.55487494615284</v>
      </c>
      <c r="H165" s="60">
        <f t="shared" si="25"/>
        <v>47897.099596360677</v>
      </c>
      <c r="I165" s="61">
        <f t="shared" si="25"/>
        <v>47907</v>
      </c>
      <c r="J165" s="58"/>
      <c r="K165" s="58"/>
      <c r="L165" s="58"/>
    </row>
    <row r="166" spans="2:16" x14ac:dyDescent="0.2">
      <c r="H166" s="58"/>
      <c r="I166" s="58"/>
      <c r="J166" s="58"/>
      <c r="K166" s="58"/>
      <c r="L166" s="58"/>
    </row>
    <row r="167" spans="2:16" ht="18" x14ac:dyDescent="0.25">
      <c r="B167" s="43" t="s">
        <v>67</v>
      </c>
      <c r="H167" s="58"/>
      <c r="I167" s="58"/>
      <c r="J167" s="58"/>
      <c r="K167" s="58"/>
      <c r="L167" s="58"/>
    </row>
    <row r="168" spans="2:16" x14ac:dyDescent="0.2">
      <c r="H168" s="58"/>
      <c r="I168" s="58"/>
      <c r="J168" s="58"/>
      <c r="K168" s="58"/>
      <c r="L168" s="58"/>
    </row>
    <row r="169" spans="2:16" ht="15.75" x14ac:dyDescent="0.25">
      <c r="B169" s="7"/>
      <c r="C169" s="44"/>
      <c r="D169" s="44"/>
      <c r="E169" s="44"/>
      <c r="F169" s="44"/>
      <c r="G169" s="44"/>
      <c r="H169" s="44"/>
      <c r="I169" s="44"/>
      <c r="J169" s="44"/>
      <c r="K169" s="45"/>
      <c r="L169" s="7"/>
      <c r="M169" s="44"/>
      <c r="N169" s="44"/>
      <c r="O169" s="44"/>
    </row>
    <row r="170" spans="2:16" ht="15.75" x14ac:dyDescent="0.25">
      <c r="B170" s="46"/>
      <c r="C170" s="47"/>
      <c r="D170" s="47" t="s">
        <v>20</v>
      </c>
      <c r="E170" s="47" t="s">
        <v>21</v>
      </c>
      <c r="F170" s="47" t="s">
        <v>22</v>
      </c>
      <c r="G170" s="47" t="s">
        <v>23</v>
      </c>
      <c r="H170" s="47" t="s">
        <v>24</v>
      </c>
      <c r="I170" s="47" t="s">
        <v>25</v>
      </c>
      <c r="J170" s="47" t="s">
        <v>26</v>
      </c>
      <c r="K170" s="46" t="s">
        <v>21</v>
      </c>
      <c r="L170" s="47" t="s">
        <v>27</v>
      </c>
      <c r="M170" s="47" t="s">
        <v>27</v>
      </c>
      <c r="N170" s="47" t="s">
        <v>27</v>
      </c>
      <c r="O170" s="47" t="s">
        <v>28</v>
      </c>
    </row>
    <row r="171" spans="2:16" ht="15.75" x14ac:dyDescent="0.25">
      <c r="B171" s="46" t="s">
        <v>29</v>
      </c>
      <c r="C171" s="47" t="s">
        <v>30</v>
      </c>
      <c r="D171" s="47" t="s">
        <v>8</v>
      </c>
      <c r="E171" s="47" t="s">
        <v>8</v>
      </c>
      <c r="F171" s="47" t="s">
        <v>8</v>
      </c>
      <c r="G171" s="47"/>
      <c r="H171" s="47" t="s">
        <v>8</v>
      </c>
      <c r="I171" s="47" t="s">
        <v>31</v>
      </c>
      <c r="J171" s="47" t="s">
        <v>32</v>
      </c>
      <c r="K171" s="46" t="s">
        <v>8</v>
      </c>
      <c r="L171" s="47" t="s">
        <v>33</v>
      </c>
      <c r="M171" s="47" t="s">
        <v>34</v>
      </c>
      <c r="N171" s="47" t="s">
        <v>35</v>
      </c>
      <c r="O171" s="47" t="s">
        <v>36</v>
      </c>
    </row>
    <row r="172" spans="2:16" ht="15.75" x14ac:dyDescent="0.25">
      <c r="B172" s="46"/>
      <c r="C172" s="47"/>
      <c r="D172" s="47"/>
      <c r="E172" s="47"/>
      <c r="F172" s="47"/>
      <c r="G172" s="47"/>
      <c r="H172" s="47"/>
      <c r="I172" s="47" t="s">
        <v>8</v>
      </c>
      <c r="J172" s="35" t="s">
        <v>8</v>
      </c>
      <c r="K172" s="46" t="s">
        <v>16</v>
      </c>
      <c r="L172" s="47" t="s">
        <v>37</v>
      </c>
      <c r="M172" s="47"/>
      <c r="N172" s="47"/>
      <c r="O172" s="47"/>
    </row>
    <row r="173" spans="2:16" ht="15.75" x14ac:dyDescent="0.25">
      <c r="B173" s="15"/>
      <c r="C173" s="48"/>
      <c r="D173" s="48"/>
      <c r="E173" s="48"/>
      <c r="F173" s="48"/>
      <c r="G173" s="48"/>
      <c r="H173" s="48"/>
      <c r="I173" s="48"/>
      <c r="J173" s="47" t="s">
        <v>16</v>
      </c>
      <c r="K173" s="48"/>
      <c r="L173" s="48"/>
      <c r="M173" s="48"/>
      <c r="N173" s="48"/>
      <c r="O173" s="48"/>
    </row>
    <row r="174" spans="2:16" ht="18.75" x14ac:dyDescent="0.25">
      <c r="B174" s="15"/>
      <c r="C174" s="48" t="s">
        <v>46</v>
      </c>
      <c r="D174" s="48"/>
      <c r="E174" s="48"/>
      <c r="F174" s="48"/>
      <c r="G174" s="48"/>
      <c r="H174" s="48"/>
      <c r="I174" s="48"/>
      <c r="J174" s="49"/>
      <c r="K174" s="48"/>
      <c r="L174" s="48"/>
      <c r="M174" s="48"/>
      <c r="N174" s="48"/>
      <c r="O174" s="48"/>
    </row>
    <row r="175" spans="2:16" ht="15.75" x14ac:dyDescent="0.25">
      <c r="B175" s="50"/>
      <c r="C175" s="47"/>
      <c r="D175" s="47"/>
      <c r="E175" s="47"/>
      <c r="F175" s="47"/>
      <c r="G175" s="47"/>
      <c r="H175" s="47"/>
      <c r="I175" s="47"/>
      <c r="J175" s="7"/>
      <c r="K175" s="47"/>
      <c r="L175" s="47"/>
      <c r="M175" s="47"/>
      <c r="N175" s="47"/>
      <c r="O175" s="47"/>
    </row>
    <row r="176" spans="2:16" ht="15.75" x14ac:dyDescent="0.25">
      <c r="B176" s="65" t="s">
        <v>47</v>
      </c>
      <c r="C176" s="47" t="s">
        <v>69</v>
      </c>
      <c r="D176" s="70">
        <v>411.24</v>
      </c>
      <c r="E176" s="66">
        <v>484.77</v>
      </c>
      <c r="F176" s="52">
        <f>E176*J23/100</f>
        <v>109.91829346289042</v>
      </c>
      <c r="G176" s="52">
        <f>E176*L26/100</f>
        <v>7.9971369156813319</v>
      </c>
      <c r="H176" s="52">
        <f>SUM(E176:F176:G176)</f>
        <v>602.68543037857182</v>
      </c>
      <c r="I176" s="52">
        <v>603</v>
      </c>
      <c r="J176" s="53">
        <f>((F176+G176)/H176)*100</f>
        <v>19.565004301581368</v>
      </c>
      <c r="K176" s="53">
        <f>100-J176</f>
        <v>80.434995698418632</v>
      </c>
      <c r="L176" s="47">
        <v>1</v>
      </c>
      <c r="M176" s="47">
        <v>9</v>
      </c>
      <c r="N176" s="47">
        <v>1</v>
      </c>
      <c r="O176" s="47">
        <f>L176*M176*N176</f>
        <v>9</v>
      </c>
      <c r="P176" s="74">
        <f>D176/I176*100</f>
        <v>68.199004975124382</v>
      </c>
    </row>
    <row r="177" spans="2:16" ht="15.75" x14ac:dyDescent="0.25">
      <c r="B177" s="65" t="s">
        <v>48</v>
      </c>
      <c r="C177" s="47" t="s">
        <v>69</v>
      </c>
      <c r="D177" s="70">
        <v>411.24</v>
      </c>
      <c r="E177" s="66">
        <v>481.11</v>
      </c>
      <c r="F177" s="52">
        <f>E177*J23/100</f>
        <v>109.0884134082786</v>
      </c>
      <c r="G177" s="52">
        <f>E177*L26/100</f>
        <v>7.9367587546742699</v>
      </c>
      <c r="H177" s="52">
        <f>SUM(E177:F177:G177)</f>
        <v>598.13517216295293</v>
      </c>
      <c r="I177" s="52">
        <v>598</v>
      </c>
      <c r="J177" s="53">
        <f>((F177+G177)/H177)*100</f>
        <v>19.565004301581371</v>
      </c>
      <c r="K177" s="53">
        <f>100-J177</f>
        <v>80.434995698418632</v>
      </c>
      <c r="L177" s="47">
        <v>1</v>
      </c>
      <c r="M177" s="47">
        <v>9</v>
      </c>
      <c r="N177" s="47">
        <v>1</v>
      </c>
      <c r="O177" s="47">
        <f>L177*M177*N177</f>
        <v>9</v>
      </c>
      <c r="P177" s="74">
        <f t="shared" ref="P177:P185" si="26">D177/I177*100</f>
        <v>68.769230769230774</v>
      </c>
    </row>
    <row r="178" spans="2:16" ht="15.75" x14ac:dyDescent="0.25">
      <c r="B178" s="65" t="s">
        <v>49</v>
      </c>
      <c r="C178" s="47" t="s">
        <v>69</v>
      </c>
      <c r="D178" s="70">
        <v>411.24</v>
      </c>
      <c r="E178" s="66">
        <v>481.11</v>
      </c>
      <c r="F178" s="52">
        <f>E178*J23/100</f>
        <v>109.0884134082786</v>
      </c>
      <c r="G178" s="52">
        <f>E178*L26/100</f>
        <v>7.9367587546742699</v>
      </c>
      <c r="H178" s="52">
        <f>SUM(E178:F178:G178)</f>
        <v>598.13517216295293</v>
      </c>
      <c r="I178" s="52">
        <v>598</v>
      </c>
      <c r="J178" s="53">
        <f>((F178+G178)/H178)*100</f>
        <v>19.565004301581371</v>
      </c>
      <c r="K178" s="53">
        <f>100-J178</f>
        <v>80.434995698418632</v>
      </c>
      <c r="L178" s="47">
        <v>1</v>
      </c>
      <c r="M178" s="47">
        <v>9</v>
      </c>
      <c r="N178" s="47">
        <v>1</v>
      </c>
      <c r="O178" s="47">
        <f>L178*M178*N178</f>
        <v>9</v>
      </c>
      <c r="P178" s="74">
        <f t="shared" si="26"/>
        <v>68.769230769230774</v>
      </c>
    </row>
    <row r="179" spans="2:16" ht="15.75" x14ac:dyDescent="0.25">
      <c r="B179" s="65" t="s">
        <v>50</v>
      </c>
      <c r="C179" s="47" t="s">
        <v>69</v>
      </c>
      <c r="D179" s="70">
        <v>411.24</v>
      </c>
      <c r="E179" s="66">
        <v>481.11</v>
      </c>
      <c r="F179" s="52">
        <f>E179*J23/100</f>
        <v>109.0884134082786</v>
      </c>
      <c r="G179" s="52">
        <f>E179*L26/100</f>
        <v>7.9367587546742699</v>
      </c>
      <c r="H179" s="52">
        <f>SUM(E179:F179:G179)</f>
        <v>598.13517216295293</v>
      </c>
      <c r="I179" s="52">
        <v>598</v>
      </c>
      <c r="J179" s="53">
        <f>((F179+G179)/H179)*100</f>
        <v>19.565004301581371</v>
      </c>
      <c r="K179" s="53">
        <f>100-J179</f>
        <v>80.434995698418632</v>
      </c>
      <c r="L179" s="47">
        <v>1</v>
      </c>
      <c r="M179" s="47">
        <v>9</v>
      </c>
      <c r="N179" s="47">
        <v>1</v>
      </c>
      <c r="O179" s="47">
        <f>L179*M179*N179</f>
        <v>9</v>
      </c>
      <c r="P179" s="74">
        <f t="shared" si="26"/>
        <v>68.769230769230774</v>
      </c>
    </row>
    <row r="180" spans="2:16" ht="15.75" x14ac:dyDescent="0.25">
      <c r="B180" s="65" t="s">
        <v>51</v>
      </c>
      <c r="C180" s="47" t="s">
        <v>69</v>
      </c>
      <c r="D180" s="70">
        <v>411.24</v>
      </c>
      <c r="E180" s="66">
        <v>484.77</v>
      </c>
      <c r="F180" s="52">
        <f>E180*J23/100</f>
        <v>109.91829346289042</v>
      </c>
      <c r="G180" s="52">
        <f>E180*L26/100</f>
        <v>7.9971369156813319</v>
      </c>
      <c r="H180" s="52">
        <f>SUM(E180:F180:G180)</f>
        <v>602.68543037857182</v>
      </c>
      <c r="I180" s="52">
        <v>603</v>
      </c>
      <c r="J180" s="53">
        <f t="shared" ref="J180:J185" si="27">((F180+G180)/H180)*100</f>
        <v>19.565004301581368</v>
      </c>
      <c r="K180" s="53">
        <f t="shared" ref="K180:K185" si="28">100-J180</f>
        <v>80.434995698418632</v>
      </c>
      <c r="L180" s="47">
        <v>1</v>
      </c>
      <c r="M180" s="47">
        <v>9</v>
      </c>
      <c r="N180" s="47">
        <v>1</v>
      </c>
      <c r="O180" s="47">
        <f t="shared" ref="O180:O185" si="29">L180*M180*N180</f>
        <v>9</v>
      </c>
      <c r="P180" s="74">
        <f t="shared" si="26"/>
        <v>68.199004975124382</v>
      </c>
    </row>
    <row r="181" spans="2:16" ht="15.75" x14ac:dyDescent="0.25">
      <c r="B181" s="65" t="s">
        <v>52</v>
      </c>
      <c r="C181" s="47" t="s">
        <v>69</v>
      </c>
      <c r="D181" s="70">
        <v>411.24</v>
      </c>
      <c r="E181" s="66">
        <v>484.77</v>
      </c>
      <c r="F181" s="52">
        <f>E181*J23/100</f>
        <v>109.91829346289042</v>
      </c>
      <c r="G181" s="52">
        <f>E181*L26/100</f>
        <v>7.9971369156813319</v>
      </c>
      <c r="H181" s="52">
        <f>SUM(E181:F181:G181)</f>
        <v>602.68543037857182</v>
      </c>
      <c r="I181" s="52">
        <v>603</v>
      </c>
      <c r="J181" s="53">
        <f t="shared" si="27"/>
        <v>19.565004301581368</v>
      </c>
      <c r="K181" s="53">
        <f t="shared" si="28"/>
        <v>80.434995698418632</v>
      </c>
      <c r="L181" s="47">
        <v>1</v>
      </c>
      <c r="M181" s="47">
        <v>9</v>
      </c>
      <c r="N181" s="47">
        <v>1</v>
      </c>
      <c r="O181" s="47">
        <f t="shared" si="29"/>
        <v>9</v>
      </c>
      <c r="P181" s="74">
        <f t="shared" si="26"/>
        <v>68.199004975124382</v>
      </c>
    </row>
    <row r="182" spans="2:16" ht="15.75" x14ac:dyDescent="0.25">
      <c r="B182" s="65" t="s">
        <v>53</v>
      </c>
      <c r="C182" s="47" t="s">
        <v>69</v>
      </c>
      <c r="D182" s="70">
        <v>411.24</v>
      </c>
      <c r="E182" s="66">
        <v>481.11</v>
      </c>
      <c r="F182" s="52">
        <f>E182*J23/100</f>
        <v>109.0884134082786</v>
      </c>
      <c r="G182" s="52">
        <f>E182*L26/100</f>
        <v>7.9367587546742699</v>
      </c>
      <c r="H182" s="52">
        <f>SUM(E182:F182:G182)</f>
        <v>598.13517216295293</v>
      </c>
      <c r="I182" s="52">
        <v>598</v>
      </c>
      <c r="J182" s="53">
        <f t="shared" si="27"/>
        <v>19.565004301581371</v>
      </c>
      <c r="K182" s="53">
        <f t="shared" si="28"/>
        <v>80.434995698418632</v>
      </c>
      <c r="L182" s="47">
        <v>1</v>
      </c>
      <c r="M182" s="47">
        <v>9</v>
      </c>
      <c r="N182" s="47">
        <v>1</v>
      </c>
      <c r="O182" s="47">
        <f t="shared" si="29"/>
        <v>9</v>
      </c>
      <c r="P182" s="74">
        <f t="shared" si="26"/>
        <v>68.769230769230774</v>
      </c>
    </row>
    <row r="183" spans="2:16" ht="15.75" x14ac:dyDescent="0.25">
      <c r="B183" s="65" t="s">
        <v>54</v>
      </c>
      <c r="C183" s="47" t="s">
        <v>69</v>
      </c>
      <c r="D183" s="70">
        <v>411.24</v>
      </c>
      <c r="E183" s="66">
        <v>481.11</v>
      </c>
      <c r="F183" s="52">
        <f>E183*J23/100</f>
        <v>109.0884134082786</v>
      </c>
      <c r="G183" s="52">
        <f>E183*L26/100</f>
        <v>7.9367587546742699</v>
      </c>
      <c r="H183" s="52">
        <f>SUM(E183:F183:G183)</f>
        <v>598.13517216295293</v>
      </c>
      <c r="I183" s="52">
        <v>598</v>
      </c>
      <c r="J183" s="53">
        <f t="shared" si="27"/>
        <v>19.565004301581371</v>
      </c>
      <c r="K183" s="53">
        <f t="shared" si="28"/>
        <v>80.434995698418632</v>
      </c>
      <c r="L183" s="47">
        <v>1</v>
      </c>
      <c r="M183" s="47">
        <v>9</v>
      </c>
      <c r="N183" s="47">
        <v>1</v>
      </c>
      <c r="O183" s="47">
        <f t="shared" si="29"/>
        <v>9</v>
      </c>
      <c r="P183" s="74">
        <f t="shared" si="26"/>
        <v>68.769230769230774</v>
      </c>
    </row>
    <row r="184" spans="2:16" ht="15.75" x14ac:dyDescent="0.25">
      <c r="B184" s="65" t="s">
        <v>55</v>
      </c>
      <c r="C184" s="47" t="s">
        <v>69</v>
      </c>
      <c r="D184" s="70">
        <v>411.24</v>
      </c>
      <c r="E184" s="66">
        <v>481.11</v>
      </c>
      <c r="F184" s="52">
        <f>E184*J23/100</f>
        <v>109.0884134082786</v>
      </c>
      <c r="G184" s="52">
        <f>E184*L26/100</f>
        <v>7.9367587546742699</v>
      </c>
      <c r="H184" s="52">
        <f>SUM(E184:F184:G184)</f>
        <v>598.13517216295293</v>
      </c>
      <c r="I184" s="52">
        <v>598</v>
      </c>
      <c r="J184" s="53">
        <f t="shared" si="27"/>
        <v>19.565004301581371</v>
      </c>
      <c r="K184" s="53">
        <f t="shared" si="28"/>
        <v>80.434995698418632</v>
      </c>
      <c r="L184" s="47">
        <v>1</v>
      </c>
      <c r="M184" s="47">
        <v>9</v>
      </c>
      <c r="N184" s="47">
        <v>1</v>
      </c>
      <c r="O184" s="47">
        <f t="shared" si="29"/>
        <v>9</v>
      </c>
      <c r="P184" s="74">
        <f t="shared" si="26"/>
        <v>68.769230769230774</v>
      </c>
    </row>
    <row r="185" spans="2:16" ht="16.5" thickBot="1" x14ac:dyDescent="0.3">
      <c r="B185" s="65" t="s">
        <v>56</v>
      </c>
      <c r="C185" s="47" t="s">
        <v>69</v>
      </c>
      <c r="D185" s="70">
        <v>411.24</v>
      </c>
      <c r="E185" s="67">
        <v>484.77</v>
      </c>
      <c r="F185" s="52">
        <f>E185*J23/100</f>
        <v>109.91829346289042</v>
      </c>
      <c r="G185" s="52">
        <f>E185*L26/100</f>
        <v>7.9971369156813319</v>
      </c>
      <c r="H185" s="52">
        <f>SUM(E185:F185:G185)</f>
        <v>602.68543037857182</v>
      </c>
      <c r="I185" s="52">
        <v>603</v>
      </c>
      <c r="J185" s="53">
        <f t="shared" si="27"/>
        <v>19.565004301581368</v>
      </c>
      <c r="K185" s="53">
        <f t="shared" si="28"/>
        <v>80.434995698418632</v>
      </c>
      <c r="L185" s="47">
        <v>1</v>
      </c>
      <c r="M185" s="47">
        <v>9</v>
      </c>
      <c r="N185" s="47">
        <v>1</v>
      </c>
      <c r="O185" s="47">
        <f t="shared" si="29"/>
        <v>9</v>
      </c>
      <c r="P185" s="74">
        <f t="shared" si="26"/>
        <v>68.199004975124382</v>
      </c>
    </row>
    <row r="186" spans="2:16" ht="16.5" thickBot="1" x14ac:dyDescent="0.3">
      <c r="B186" s="29"/>
      <c r="C186" s="31"/>
      <c r="D186" s="54">
        <f t="shared" ref="D186:I186" si="30">SUM(D176:D185)</f>
        <v>4112.3999999999987</v>
      </c>
      <c r="E186" s="54">
        <f t="shared" si="30"/>
        <v>4825.74</v>
      </c>
      <c r="F186" s="54">
        <f t="shared" si="30"/>
        <v>1094.2036543012332</v>
      </c>
      <c r="G186" s="54">
        <f t="shared" si="30"/>
        <v>79.60910019077096</v>
      </c>
      <c r="H186" s="54">
        <f t="shared" si="30"/>
        <v>5999.5527544920042</v>
      </c>
      <c r="I186" s="54">
        <f t="shared" si="30"/>
        <v>6000</v>
      </c>
      <c r="J186" s="55"/>
      <c r="K186" s="55"/>
      <c r="L186" s="55">
        <f>SUM(L176:L185)</f>
        <v>10</v>
      </c>
      <c r="M186" s="55">
        <v>9</v>
      </c>
      <c r="N186" s="55">
        <v>1</v>
      </c>
      <c r="O186" s="49">
        <f>SUM(O176:O185)</f>
        <v>90</v>
      </c>
      <c r="P186" s="71"/>
    </row>
    <row r="187" spans="2:16" ht="16.5" thickBot="1" x14ac:dyDescent="0.3">
      <c r="B187" s="56" t="s">
        <v>39</v>
      </c>
      <c r="C187" s="18"/>
      <c r="D187" s="14">
        <v>9</v>
      </c>
      <c r="E187" s="14">
        <v>9</v>
      </c>
      <c r="F187" s="14">
        <v>9</v>
      </c>
      <c r="G187" s="14">
        <v>9</v>
      </c>
      <c r="H187" s="57">
        <v>9</v>
      </c>
      <c r="I187" s="57">
        <v>9</v>
      </c>
      <c r="J187" s="58"/>
      <c r="K187" s="58"/>
      <c r="L187" s="58"/>
      <c r="P187" s="75">
        <f>AVERAGE(P176:P185)</f>
        <v>68.54114045158822</v>
      </c>
    </row>
    <row r="188" spans="2:16" ht="16.5" thickBot="1" x14ac:dyDescent="0.3">
      <c r="B188" s="59"/>
      <c r="C188" s="59"/>
      <c r="D188" s="60">
        <f t="shared" ref="D188:I188" si="31">D186*D187</f>
        <v>37011.599999999991</v>
      </c>
      <c r="E188" s="60">
        <f t="shared" si="31"/>
        <v>43431.659999999996</v>
      </c>
      <c r="F188" s="60">
        <f t="shared" si="31"/>
        <v>9847.8328887110983</v>
      </c>
      <c r="G188" s="60">
        <f t="shared" si="31"/>
        <v>716.48190171693864</v>
      </c>
      <c r="H188" s="60">
        <f t="shared" si="31"/>
        <v>53995.974790428038</v>
      </c>
      <c r="I188" s="61">
        <f t="shared" si="31"/>
        <v>54000</v>
      </c>
      <c r="J188" s="58"/>
      <c r="K188" s="58"/>
      <c r="L188" s="58"/>
      <c r="M188" s="23" t="s">
        <v>42</v>
      </c>
      <c r="O188" s="62">
        <f>O52+O85+O113+O145+O163+O186</f>
        <v>549</v>
      </c>
    </row>
    <row r="190" spans="2:16" ht="22.35" customHeight="1" x14ac:dyDescent="0.25">
      <c r="B190" s="210" t="s">
        <v>43</v>
      </c>
      <c r="C190" s="210"/>
      <c r="D190" s="63">
        <f t="shared" ref="D190:I190" si="32">D54+D87+D115+D147+D165+D188</f>
        <v>369231.38999999996</v>
      </c>
      <c r="E190" s="63">
        <f t="shared" si="32"/>
        <v>424325.61000000004</v>
      </c>
      <c r="F190" s="63">
        <f t="shared" si="32"/>
        <v>96212.939999999988</v>
      </c>
      <c r="G190" s="63">
        <f t="shared" si="32"/>
        <v>7000.0000000000009</v>
      </c>
      <c r="H190" s="63">
        <f t="shared" si="32"/>
        <v>527538.55000000005</v>
      </c>
      <c r="I190" s="64">
        <f t="shared" si="32"/>
        <v>527679</v>
      </c>
    </row>
  </sheetData>
  <mergeCells count="1">
    <mergeCell ref="B190:C190"/>
  </mergeCells>
  <pageMargins left="0.98425196850393704" right="0.74803149606299213" top="0.39370078740157483" bottom="0.19685039370078741" header="0.51181102362204722" footer="0.51181102362204722"/>
  <pageSetup paperSize="8" scale="80" firstPageNumber="0" orientation="landscape" horizontalDpi="4294967293" verticalDpi="300" r:id="rId1"/>
  <headerFooter alignWithMargins="0"/>
  <rowBreaks count="1" manualBreakCount="1">
    <brk id="126" max="14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2"/>
  <sheetViews>
    <sheetView tabSelected="1" view="pageBreakPreview" topLeftCell="A46" zoomScaleSheetLayoutView="100" workbookViewId="0">
      <selection activeCell="H5" sqref="H5:H6"/>
    </sheetView>
  </sheetViews>
  <sheetFormatPr defaultRowHeight="12.75" x14ac:dyDescent="0.2"/>
  <cols>
    <col min="1" max="3" width="9.42578125" customWidth="1"/>
    <col min="4" max="4" width="8.28515625" customWidth="1"/>
    <col min="5" max="5" width="15.42578125" customWidth="1"/>
    <col min="6" max="9" width="14" customWidth="1"/>
    <col min="10" max="10" width="18.5703125" customWidth="1"/>
    <col min="11" max="11" width="17.5703125" customWidth="1"/>
    <col min="12" max="13" width="14" customWidth="1"/>
    <col min="14" max="16" width="10" customWidth="1"/>
    <col min="17" max="17" width="11.5703125" customWidth="1"/>
    <col min="18" max="18" width="10.7109375" customWidth="1"/>
  </cols>
  <sheetData>
    <row r="1" spans="1:18" ht="21.75" customHeight="1" x14ac:dyDescent="0.2">
      <c r="A1" s="140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2"/>
    </row>
    <row r="2" spans="1:18" ht="51" customHeight="1" x14ac:dyDescent="0.2">
      <c r="A2" s="194" t="s">
        <v>160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6"/>
      <c r="P2" s="156"/>
    </row>
    <row r="3" spans="1:18" ht="21" thickBot="1" x14ac:dyDescent="0.35">
      <c r="A3" s="143"/>
      <c r="B3" s="76"/>
      <c r="C3" s="76"/>
      <c r="D3" s="76"/>
      <c r="E3" s="153"/>
      <c r="F3" s="193" t="s">
        <v>125</v>
      </c>
      <c r="G3" s="193"/>
      <c r="H3" s="193"/>
      <c r="I3" s="193"/>
      <c r="J3" s="193"/>
      <c r="K3" s="193"/>
      <c r="L3" s="35"/>
      <c r="M3" s="197" t="s">
        <v>137</v>
      </c>
      <c r="N3" s="198"/>
      <c r="O3" s="199"/>
      <c r="P3" s="157"/>
    </row>
    <row r="4" spans="1:18" ht="69.75" customHeight="1" thickBot="1" x14ac:dyDescent="0.3">
      <c r="A4" s="167"/>
      <c r="B4" s="167"/>
      <c r="C4" s="167"/>
      <c r="D4" s="168"/>
      <c r="E4" s="169"/>
      <c r="F4" s="170" t="s">
        <v>138</v>
      </c>
      <c r="G4" s="170" t="s">
        <v>139</v>
      </c>
      <c r="H4" s="170" t="s">
        <v>140</v>
      </c>
      <c r="I4" s="170" t="s">
        <v>143</v>
      </c>
      <c r="J4" s="170" t="s">
        <v>148</v>
      </c>
      <c r="K4" s="171" t="s">
        <v>149</v>
      </c>
      <c r="L4" s="170" t="s">
        <v>150</v>
      </c>
      <c r="M4" s="171" t="s">
        <v>151</v>
      </c>
      <c r="N4" s="172"/>
      <c r="O4" s="172"/>
      <c r="P4" s="157"/>
    </row>
    <row r="5" spans="1:18" ht="15" customHeight="1" x14ac:dyDescent="0.2">
      <c r="A5" s="200" t="s">
        <v>123</v>
      </c>
      <c r="B5" s="176" t="s">
        <v>152</v>
      </c>
      <c r="C5" s="176" t="s">
        <v>37</v>
      </c>
      <c r="D5" s="202" t="s">
        <v>141</v>
      </c>
      <c r="E5" s="202" t="s">
        <v>30</v>
      </c>
      <c r="F5" s="181" t="s">
        <v>142</v>
      </c>
      <c r="G5" s="208" t="s">
        <v>133</v>
      </c>
      <c r="H5" s="181" t="s">
        <v>132</v>
      </c>
      <c r="I5" s="181" t="s">
        <v>144</v>
      </c>
      <c r="J5" s="181" t="s">
        <v>145</v>
      </c>
      <c r="K5" s="181" t="s">
        <v>147</v>
      </c>
      <c r="L5" s="181" t="s">
        <v>146</v>
      </c>
      <c r="M5" s="204" t="s">
        <v>124</v>
      </c>
      <c r="N5" s="206" t="s">
        <v>129</v>
      </c>
      <c r="O5" s="207"/>
      <c r="P5" s="158"/>
    </row>
    <row r="6" spans="1:18" ht="66.75" customHeight="1" thickBot="1" x14ac:dyDescent="0.25">
      <c r="A6" s="201"/>
      <c r="B6" s="177"/>
      <c r="C6" s="177"/>
      <c r="D6" s="203"/>
      <c r="E6" s="203"/>
      <c r="F6" s="182"/>
      <c r="G6" s="209"/>
      <c r="H6" s="182"/>
      <c r="I6" s="182"/>
      <c r="J6" s="182"/>
      <c r="K6" s="182"/>
      <c r="L6" s="182"/>
      <c r="M6" s="205"/>
      <c r="N6" s="135" t="s">
        <v>130</v>
      </c>
      <c r="O6" s="136" t="s">
        <v>131</v>
      </c>
      <c r="P6" s="159"/>
    </row>
    <row r="7" spans="1:18" ht="16.5" customHeight="1" x14ac:dyDescent="0.2">
      <c r="A7" s="125"/>
      <c r="B7" s="173"/>
      <c r="C7" s="173"/>
      <c r="D7" s="126"/>
      <c r="E7" s="127"/>
      <c r="F7" s="128"/>
      <c r="G7" s="129"/>
      <c r="H7" s="139"/>
      <c r="I7" s="139"/>
      <c r="J7" s="139"/>
      <c r="K7" s="130"/>
      <c r="L7" s="131"/>
      <c r="M7" s="132"/>
      <c r="N7" s="133"/>
      <c r="O7" s="134"/>
      <c r="P7" s="160"/>
    </row>
    <row r="8" spans="1:18" ht="16.5" customHeight="1" x14ac:dyDescent="0.25">
      <c r="A8" s="175">
        <v>1</v>
      </c>
      <c r="B8" s="178" t="s">
        <v>153</v>
      </c>
      <c r="C8" s="183" t="s">
        <v>154</v>
      </c>
      <c r="D8" s="116">
        <v>101</v>
      </c>
      <c r="E8" s="117" t="s">
        <v>126</v>
      </c>
      <c r="F8" s="118">
        <f>932.72/10.764</f>
        <v>86.651802303976226</v>
      </c>
      <c r="G8" s="119">
        <f>36.66/10.764</f>
        <v>3.4057971014492754</v>
      </c>
      <c r="H8" s="121">
        <f>37.11/10.764</f>
        <v>3.4476031215161651</v>
      </c>
      <c r="I8" s="121">
        <f>J8-(F8+G8+H8)</f>
        <v>12.496283909327374</v>
      </c>
      <c r="J8" s="121">
        <f>P8/10.764</f>
        <v>106.00148643626905</v>
      </c>
      <c r="K8" s="120">
        <f>L8-J8</f>
        <v>25.919732441471567</v>
      </c>
      <c r="L8" s="120">
        <f>1420/10.764</f>
        <v>131.92121887774061</v>
      </c>
      <c r="M8" s="121">
        <f>L8*F60</f>
        <v>43.029016400643386</v>
      </c>
      <c r="N8" s="112">
        <v>0</v>
      </c>
      <c r="O8" s="113">
        <v>1</v>
      </c>
      <c r="P8" s="163">
        <v>1141</v>
      </c>
      <c r="Q8" s="164">
        <v>276.97000000000003</v>
      </c>
      <c r="R8" s="165">
        <f>1420/10.764</f>
        <v>131.92121887774061</v>
      </c>
    </row>
    <row r="9" spans="1:18" ht="16.5" customHeight="1" x14ac:dyDescent="0.25">
      <c r="A9" s="115">
        <v>2</v>
      </c>
      <c r="B9" s="179"/>
      <c r="C9" s="184"/>
      <c r="D9" s="116">
        <v>102</v>
      </c>
      <c r="E9" s="117" t="s">
        <v>126</v>
      </c>
      <c r="F9" s="118">
        <f>1096.83/10.764</f>
        <v>101.89799331103679</v>
      </c>
      <c r="G9" s="119">
        <f>58.75/10.764</f>
        <v>5.4580081753994802</v>
      </c>
      <c r="H9" s="121">
        <f>60.42/10.764</f>
        <v>5.6131549609810483</v>
      </c>
      <c r="I9" s="121">
        <f t="shared" ref="I9:I12" si="0">J9-(F9+G9+H9)</f>
        <v>9.2902266815310384</v>
      </c>
      <c r="J9" s="121">
        <f t="shared" ref="J9:J16" si="1">P9/10.764</f>
        <v>122.25938312894836</v>
      </c>
      <c r="K9" s="120">
        <f t="shared" ref="K9:K16" si="2">L9-J9</f>
        <v>30.100334448160524</v>
      </c>
      <c r="L9" s="120">
        <f>1640/10.764</f>
        <v>152.35971757710888</v>
      </c>
      <c r="M9" s="121">
        <f>L9*F60</f>
        <v>49.695483730320532</v>
      </c>
      <c r="N9" s="112">
        <v>1</v>
      </c>
      <c r="O9" s="113"/>
      <c r="P9" s="163">
        <v>1316</v>
      </c>
      <c r="Q9" s="164">
        <v>319.45</v>
      </c>
      <c r="R9" s="165">
        <f>1640/10.764</f>
        <v>152.35971757710888</v>
      </c>
    </row>
    <row r="10" spans="1:18" ht="16.5" customHeight="1" x14ac:dyDescent="0.25">
      <c r="A10" s="115">
        <v>3</v>
      </c>
      <c r="B10" s="179"/>
      <c r="C10" s="184"/>
      <c r="D10" s="116">
        <v>103</v>
      </c>
      <c r="E10" s="117" t="s">
        <v>135</v>
      </c>
      <c r="F10" s="118">
        <f>830.54/10.764</f>
        <v>77.159048680787819</v>
      </c>
      <c r="G10" s="119">
        <f>60/10.764</f>
        <v>5.574136008918618</v>
      </c>
      <c r="H10" s="121">
        <f>49.17/10.764</f>
        <v>4.5680044593088072</v>
      </c>
      <c r="I10" s="121">
        <f t="shared" si="0"/>
        <v>9.4100706057227796</v>
      </c>
      <c r="J10" s="121">
        <f t="shared" si="1"/>
        <v>96.711259754738023</v>
      </c>
      <c r="K10" s="120">
        <f t="shared" si="2"/>
        <v>23.597175771088814</v>
      </c>
      <c r="L10" s="120">
        <f>1295/10.764</f>
        <v>120.30843552582684</v>
      </c>
      <c r="M10" s="121">
        <f>L10*F60</f>
        <v>39.241250872417744</v>
      </c>
      <c r="N10" s="112">
        <v>0</v>
      </c>
      <c r="O10" s="113">
        <v>1</v>
      </c>
      <c r="P10" s="163">
        <v>1041</v>
      </c>
      <c r="Q10" s="164">
        <v>252.69</v>
      </c>
      <c r="R10" s="165">
        <f>1295/10.764</f>
        <v>120.30843552582684</v>
      </c>
    </row>
    <row r="11" spans="1:18" ht="16.5" customHeight="1" x14ac:dyDescent="0.25">
      <c r="A11" s="115">
        <v>4</v>
      </c>
      <c r="B11" s="179"/>
      <c r="C11" s="184"/>
      <c r="D11" s="116">
        <v>104</v>
      </c>
      <c r="E11" s="117" t="s">
        <v>126</v>
      </c>
      <c r="F11" s="118">
        <f>1114.93/10.764</f>
        <v>103.57952434039392</v>
      </c>
      <c r="G11" s="119">
        <f>60.83/10.764</f>
        <v>5.6512448903753256</v>
      </c>
      <c r="H11" s="121">
        <f>60.42/10.764</f>
        <v>5.6131549609810483</v>
      </c>
      <c r="I11" s="121">
        <f t="shared" si="0"/>
        <v>9.3664065403195735</v>
      </c>
      <c r="J11" s="121">
        <f t="shared" si="1"/>
        <v>124.21033073206986</v>
      </c>
      <c r="K11" s="120">
        <f t="shared" si="2"/>
        <v>30.471943515421785</v>
      </c>
      <c r="L11" s="120">
        <f>1665/10.764</f>
        <v>154.68227424749165</v>
      </c>
      <c r="M11" s="121">
        <f>L11*F60</f>
        <v>50.453036835965669</v>
      </c>
      <c r="N11" s="112">
        <v>1</v>
      </c>
      <c r="O11" s="113"/>
      <c r="P11" s="163">
        <v>1337</v>
      </c>
      <c r="Q11" s="166">
        <v>324.55</v>
      </c>
      <c r="R11" s="165">
        <f>1665/10.764</f>
        <v>154.68227424749165</v>
      </c>
    </row>
    <row r="12" spans="1:18" ht="16.5" customHeight="1" x14ac:dyDescent="0.25">
      <c r="A12" s="115">
        <v>5</v>
      </c>
      <c r="B12" s="179"/>
      <c r="C12" s="184"/>
      <c r="D12" s="116">
        <v>105</v>
      </c>
      <c r="E12" s="117" t="s">
        <v>126</v>
      </c>
      <c r="F12" s="118">
        <f>1133.95/10.764</f>
        <v>105.34652545522111</v>
      </c>
      <c r="G12" s="119">
        <f>63.75/10.764</f>
        <v>5.9225195094760315</v>
      </c>
      <c r="H12" s="121">
        <f>60.42/10.764</f>
        <v>5.6131549609810483</v>
      </c>
      <c r="I12" s="121">
        <f t="shared" si="0"/>
        <v>10.115198810850984</v>
      </c>
      <c r="J12" s="121">
        <f t="shared" si="1"/>
        <v>126.99739873652918</v>
      </c>
      <c r="K12" s="120">
        <f t="shared" si="2"/>
        <v>30.936454849498332</v>
      </c>
      <c r="L12" s="120">
        <f>1700/10.764</f>
        <v>157.93385358602751</v>
      </c>
      <c r="M12" s="121">
        <f>L12*F60</f>
        <v>51.513611183868854</v>
      </c>
      <c r="N12" s="112">
        <v>1</v>
      </c>
      <c r="O12" s="113"/>
      <c r="P12" s="163">
        <v>1367</v>
      </c>
      <c r="Q12" s="166">
        <v>331.83</v>
      </c>
      <c r="R12" s="165">
        <f>1700/10.764</f>
        <v>157.93385358602751</v>
      </c>
    </row>
    <row r="13" spans="1:18" ht="16.5" customHeight="1" x14ac:dyDescent="0.25">
      <c r="A13" s="115">
        <v>6</v>
      </c>
      <c r="B13" s="179"/>
      <c r="C13" s="184"/>
      <c r="D13" s="116">
        <v>106</v>
      </c>
      <c r="E13" s="117" t="s">
        <v>126</v>
      </c>
      <c r="F13" s="118">
        <f>1028.39/10.764</f>
        <v>95.539762170196965</v>
      </c>
      <c r="G13" s="119">
        <f>56.44/10.764</f>
        <v>5.2434039390561127</v>
      </c>
      <c r="H13" s="121" t="s">
        <v>134</v>
      </c>
      <c r="I13" s="121">
        <f>J13-(F13+G13)</f>
        <v>9.7705314009661777</v>
      </c>
      <c r="J13" s="121">
        <f t="shared" si="1"/>
        <v>110.55369751021925</v>
      </c>
      <c r="K13" s="120">
        <f t="shared" si="2"/>
        <v>26.941657376439991</v>
      </c>
      <c r="L13" s="120">
        <f>1480/10.764</f>
        <v>137.49535488665924</v>
      </c>
      <c r="M13" s="121">
        <f>L13*F60</f>
        <v>44.847143854191707</v>
      </c>
      <c r="N13" s="112">
        <v>1</v>
      </c>
      <c r="O13" s="113"/>
      <c r="P13" s="163">
        <v>1190</v>
      </c>
      <c r="Q13" s="166">
        <v>288.86</v>
      </c>
      <c r="R13" s="165">
        <f>1480/10.764</f>
        <v>137.49535488665924</v>
      </c>
    </row>
    <row r="14" spans="1:18" ht="16.5" customHeight="1" x14ac:dyDescent="0.25">
      <c r="A14" s="115">
        <v>7</v>
      </c>
      <c r="B14" s="179"/>
      <c r="C14" s="184"/>
      <c r="D14" s="116">
        <v>107</v>
      </c>
      <c r="E14" s="117" t="s">
        <v>126</v>
      </c>
      <c r="F14" s="118">
        <f>1032.62/10.764</f>
        <v>95.932738758825707</v>
      </c>
      <c r="G14" s="119">
        <f>56.45/10.764</f>
        <v>5.2443329617242664</v>
      </c>
      <c r="H14" s="121" t="s">
        <v>134</v>
      </c>
      <c r="I14" s="121">
        <f>J14-(F14+G14)</f>
        <v>9.3766257896692764</v>
      </c>
      <c r="J14" s="121">
        <f t="shared" si="1"/>
        <v>110.55369751021925</v>
      </c>
      <c r="K14" s="120">
        <f t="shared" si="2"/>
        <v>26.941657376439991</v>
      </c>
      <c r="L14" s="120">
        <f>1480/10.764</f>
        <v>137.49535488665924</v>
      </c>
      <c r="M14" s="121">
        <f>L14*F60</f>
        <v>44.847143854191707</v>
      </c>
      <c r="N14" s="112">
        <v>1</v>
      </c>
      <c r="O14" s="113"/>
      <c r="P14" s="163">
        <v>1190</v>
      </c>
      <c r="Q14" s="166">
        <v>288.86</v>
      </c>
      <c r="R14" s="165">
        <f>1480/10.764</f>
        <v>137.49535488665924</v>
      </c>
    </row>
    <row r="15" spans="1:18" ht="16.5" customHeight="1" x14ac:dyDescent="0.25">
      <c r="A15" s="115">
        <v>8</v>
      </c>
      <c r="B15" s="179"/>
      <c r="C15" s="184"/>
      <c r="D15" s="116">
        <v>108</v>
      </c>
      <c r="E15" s="117" t="s">
        <v>126</v>
      </c>
      <c r="F15" s="118">
        <f>993.83/10.764</f>
        <v>92.329059829059844</v>
      </c>
      <c r="G15" s="119">
        <f>55.11/10.764</f>
        <v>5.1198439241917502</v>
      </c>
      <c r="H15" s="121" t="s">
        <v>134</v>
      </c>
      <c r="I15" s="121">
        <f>J15-(F15+G15)</f>
        <v>9.2958008175399414</v>
      </c>
      <c r="J15" s="121">
        <f t="shared" si="1"/>
        <v>106.74470457079154</v>
      </c>
      <c r="K15" s="120">
        <f t="shared" si="2"/>
        <v>26.105536975102197</v>
      </c>
      <c r="L15" s="120">
        <f>1430/10.764</f>
        <v>132.85024154589374</v>
      </c>
      <c r="M15" s="121">
        <f>L15*F60</f>
        <v>43.332037642901447</v>
      </c>
      <c r="N15" s="112">
        <v>1</v>
      </c>
      <c r="O15" s="113"/>
      <c r="P15" s="163">
        <v>1149</v>
      </c>
      <c r="Q15" s="166">
        <v>278.91000000000003</v>
      </c>
      <c r="R15" s="165">
        <f>1430/10.764</f>
        <v>132.85024154589374</v>
      </c>
    </row>
    <row r="16" spans="1:18" ht="16.5" customHeight="1" x14ac:dyDescent="0.25">
      <c r="A16" s="115">
        <v>9</v>
      </c>
      <c r="B16" s="179"/>
      <c r="C16" s="184"/>
      <c r="D16" s="116">
        <v>109</v>
      </c>
      <c r="E16" s="117" t="s">
        <v>135</v>
      </c>
      <c r="F16" s="118">
        <f>759.14/10.764</f>
        <v>70.525826830174665</v>
      </c>
      <c r="G16" s="119">
        <f>26.06/10.764</f>
        <v>2.4210330732069862</v>
      </c>
      <c r="H16" s="121" t="s">
        <v>134</v>
      </c>
      <c r="I16" s="121">
        <f>J16-(F16+G16)</f>
        <v>8.5284280936454877</v>
      </c>
      <c r="J16" s="121">
        <f t="shared" si="1"/>
        <v>81.475287997027138</v>
      </c>
      <c r="K16" s="120">
        <f t="shared" si="2"/>
        <v>19.788182831661089</v>
      </c>
      <c r="L16" s="120">
        <f>1090/10.764</f>
        <v>101.26347082868823</v>
      </c>
      <c r="M16" s="121">
        <f>L16*F60</f>
        <v>33.029315406127672</v>
      </c>
      <c r="N16" s="112">
        <v>0</v>
      </c>
      <c r="O16" s="113">
        <v>1</v>
      </c>
      <c r="P16" s="163">
        <v>877</v>
      </c>
      <c r="Q16" s="166">
        <v>212.88</v>
      </c>
      <c r="R16" s="165">
        <f>1090/10.764</f>
        <v>101.26347082868823</v>
      </c>
    </row>
    <row r="17" spans="1:16" ht="16.5" customHeight="1" x14ac:dyDescent="0.25">
      <c r="A17" s="115"/>
      <c r="B17" s="179"/>
      <c r="C17" s="174"/>
      <c r="D17" s="116"/>
      <c r="E17" s="117"/>
      <c r="F17" s="118"/>
      <c r="G17" s="119"/>
      <c r="H17" s="121"/>
      <c r="I17" s="121"/>
      <c r="J17" s="121"/>
      <c r="K17" s="120"/>
      <c r="L17" s="120"/>
      <c r="M17" s="121"/>
      <c r="N17" s="112"/>
      <c r="O17" s="113"/>
      <c r="P17" s="161"/>
    </row>
    <row r="18" spans="1:16" ht="16.5" customHeight="1" x14ac:dyDescent="0.25">
      <c r="A18" s="115">
        <v>10</v>
      </c>
      <c r="B18" s="179"/>
      <c r="C18" s="183" t="s">
        <v>155</v>
      </c>
      <c r="D18" s="116">
        <v>201</v>
      </c>
      <c r="E18" s="117" t="s">
        <v>126</v>
      </c>
      <c r="F18" s="118">
        <f t="shared" ref="F18:K18" si="3">F8</f>
        <v>86.651802303976226</v>
      </c>
      <c r="G18" s="119">
        <f t="shared" si="3"/>
        <v>3.4057971014492754</v>
      </c>
      <c r="H18" s="121">
        <f t="shared" si="3"/>
        <v>3.4476031215161651</v>
      </c>
      <c r="I18" s="119">
        <f t="shared" si="3"/>
        <v>12.496283909327374</v>
      </c>
      <c r="J18" s="119">
        <f t="shared" si="3"/>
        <v>106.00148643626905</v>
      </c>
      <c r="K18" s="120">
        <f t="shared" si="3"/>
        <v>25.919732441471567</v>
      </c>
      <c r="L18" s="120">
        <f>1420/10.764</f>
        <v>131.92121887774061</v>
      </c>
      <c r="M18" s="121">
        <f>M8</f>
        <v>43.029016400643386</v>
      </c>
      <c r="N18" s="112">
        <v>0</v>
      </c>
      <c r="O18" s="113">
        <v>1</v>
      </c>
      <c r="P18" s="161"/>
    </row>
    <row r="19" spans="1:16" ht="16.5" customHeight="1" x14ac:dyDescent="0.25">
      <c r="A19" s="115">
        <v>11</v>
      </c>
      <c r="B19" s="179"/>
      <c r="C19" s="184"/>
      <c r="D19" s="116">
        <v>202</v>
      </c>
      <c r="E19" s="117" t="s">
        <v>126</v>
      </c>
      <c r="F19" s="118">
        <f t="shared" ref="F19:H26" si="4">F9</f>
        <v>101.89799331103679</v>
      </c>
      <c r="G19" s="119">
        <f t="shared" si="4"/>
        <v>5.4580081753994802</v>
      </c>
      <c r="H19" s="121">
        <f t="shared" si="4"/>
        <v>5.6131549609810483</v>
      </c>
      <c r="I19" s="119">
        <f t="shared" ref="I19:J19" si="5">I9</f>
        <v>9.2902266815310384</v>
      </c>
      <c r="J19" s="119">
        <f t="shared" si="5"/>
        <v>122.25938312894836</v>
      </c>
      <c r="K19" s="120">
        <f t="shared" ref="K19:K26" si="6">K9</f>
        <v>30.100334448160524</v>
      </c>
      <c r="L19" s="120">
        <f>1640/10.764</f>
        <v>152.35971757710888</v>
      </c>
      <c r="M19" s="121">
        <f t="shared" ref="M19:M26" si="7">M9</f>
        <v>49.695483730320532</v>
      </c>
      <c r="N19" s="112">
        <v>1</v>
      </c>
      <c r="O19" s="113"/>
      <c r="P19" s="161"/>
    </row>
    <row r="20" spans="1:16" ht="16.5" customHeight="1" x14ac:dyDescent="0.25">
      <c r="A20" s="115">
        <v>12</v>
      </c>
      <c r="B20" s="179"/>
      <c r="C20" s="184"/>
      <c r="D20" s="116">
        <v>203</v>
      </c>
      <c r="E20" s="117" t="s">
        <v>135</v>
      </c>
      <c r="F20" s="118">
        <f t="shared" si="4"/>
        <v>77.159048680787819</v>
      </c>
      <c r="G20" s="119">
        <f t="shared" si="4"/>
        <v>5.574136008918618</v>
      </c>
      <c r="H20" s="121">
        <f t="shared" si="4"/>
        <v>4.5680044593088072</v>
      </c>
      <c r="I20" s="119">
        <f t="shared" ref="I20:J20" si="8">I10</f>
        <v>9.4100706057227796</v>
      </c>
      <c r="J20" s="119">
        <f t="shared" si="8"/>
        <v>96.711259754738023</v>
      </c>
      <c r="K20" s="120">
        <f t="shared" si="6"/>
        <v>23.597175771088814</v>
      </c>
      <c r="L20" s="120">
        <f>1295/10.764</f>
        <v>120.30843552582684</v>
      </c>
      <c r="M20" s="121">
        <f t="shared" si="7"/>
        <v>39.241250872417744</v>
      </c>
      <c r="N20" s="112">
        <v>0</v>
      </c>
      <c r="O20" s="113">
        <v>1</v>
      </c>
      <c r="P20" s="161"/>
    </row>
    <row r="21" spans="1:16" ht="16.5" customHeight="1" x14ac:dyDescent="0.25">
      <c r="A21" s="115">
        <v>13</v>
      </c>
      <c r="B21" s="179"/>
      <c r="C21" s="184"/>
      <c r="D21" s="116">
        <v>204</v>
      </c>
      <c r="E21" s="117" t="s">
        <v>126</v>
      </c>
      <c r="F21" s="118">
        <f t="shared" si="4"/>
        <v>103.57952434039392</v>
      </c>
      <c r="G21" s="119">
        <f t="shared" si="4"/>
        <v>5.6512448903753256</v>
      </c>
      <c r="H21" s="121">
        <f t="shared" si="4"/>
        <v>5.6131549609810483</v>
      </c>
      <c r="I21" s="119">
        <f t="shared" ref="I21:J21" si="9">I11</f>
        <v>9.3664065403195735</v>
      </c>
      <c r="J21" s="119">
        <f t="shared" si="9"/>
        <v>124.21033073206986</v>
      </c>
      <c r="K21" s="120">
        <f t="shared" si="6"/>
        <v>30.471943515421785</v>
      </c>
      <c r="L21" s="120">
        <f>1665/10.764</f>
        <v>154.68227424749165</v>
      </c>
      <c r="M21" s="121">
        <f t="shared" si="7"/>
        <v>50.453036835965669</v>
      </c>
      <c r="N21" s="112">
        <v>1</v>
      </c>
      <c r="O21" s="113"/>
      <c r="P21" s="161"/>
    </row>
    <row r="22" spans="1:16" ht="16.5" customHeight="1" x14ac:dyDescent="0.25">
      <c r="A22" s="115">
        <v>14</v>
      </c>
      <c r="B22" s="179"/>
      <c r="C22" s="184"/>
      <c r="D22" s="116">
        <v>205</v>
      </c>
      <c r="E22" s="117" t="s">
        <v>126</v>
      </c>
      <c r="F22" s="118">
        <f t="shared" si="4"/>
        <v>105.34652545522111</v>
      </c>
      <c r="G22" s="119">
        <f t="shared" si="4"/>
        <v>5.9225195094760315</v>
      </c>
      <c r="H22" s="121">
        <f>H12</f>
        <v>5.6131549609810483</v>
      </c>
      <c r="I22" s="119">
        <f t="shared" ref="I22:J22" si="10">I12</f>
        <v>10.115198810850984</v>
      </c>
      <c r="J22" s="119">
        <f t="shared" si="10"/>
        <v>126.99739873652918</v>
      </c>
      <c r="K22" s="120">
        <f t="shared" si="6"/>
        <v>30.936454849498332</v>
      </c>
      <c r="L22" s="120">
        <f>1700/10.764</f>
        <v>157.93385358602751</v>
      </c>
      <c r="M22" s="121">
        <f t="shared" si="7"/>
        <v>51.513611183868854</v>
      </c>
      <c r="N22" s="112">
        <v>1</v>
      </c>
      <c r="O22" s="113"/>
      <c r="P22" s="161"/>
    </row>
    <row r="23" spans="1:16" ht="16.5" customHeight="1" x14ac:dyDescent="0.25">
      <c r="A23" s="115">
        <v>15</v>
      </c>
      <c r="B23" s="179"/>
      <c r="C23" s="184"/>
      <c r="D23" s="116">
        <v>206</v>
      </c>
      <c r="E23" s="117" t="s">
        <v>126</v>
      </c>
      <c r="F23" s="118">
        <f t="shared" si="4"/>
        <v>95.539762170196965</v>
      </c>
      <c r="G23" s="119">
        <f t="shared" si="4"/>
        <v>5.2434039390561127</v>
      </c>
      <c r="H23" s="121" t="str">
        <f t="shared" si="4"/>
        <v>-</v>
      </c>
      <c r="I23" s="119">
        <f t="shared" ref="I23:J23" si="11">I13</f>
        <v>9.7705314009661777</v>
      </c>
      <c r="J23" s="119">
        <f t="shared" si="11"/>
        <v>110.55369751021925</v>
      </c>
      <c r="K23" s="120">
        <f t="shared" si="6"/>
        <v>26.941657376439991</v>
      </c>
      <c r="L23" s="120">
        <f>1480/10.764</f>
        <v>137.49535488665924</v>
      </c>
      <c r="M23" s="121">
        <f t="shared" si="7"/>
        <v>44.847143854191707</v>
      </c>
      <c r="N23" s="112">
        <v>1</v>
      </c>
      <c r="O23" s="113"/>
      <c r="P23" s="161"/>
    </row>
    <row r="24" spans="1:16" ht="16.5" customHeight="1" x14ac:dyDescent="0.25">
      <c r="A24" s="115">
        <v>16</v>
      </c>
      <c r="B24" s="179"/>
      <c r="C24" s="184"/>
      <c r="D24" s="116">
        <v>207</v>
      </c>
      <c r="E24" s="117" t="s">
        <v>126</v>
      </c>
      <c r="F24" s="118">
        <f t="shared" si="4"/>
        <v>95.932738758825707</v>
      </c>
      <c r="G24" s="119">
        <f t="shared" si="4"/>
        <v>5.2443329617242664</v>
      </c>
      <c r="H24" s="121" t="str">
        <f t="shared" si="4"/>
        <v>-</v>
      </c>
      <c r="I24" s="119">
        <f t="shared" ref="I24:J24" si="12">I14</f>
        <v>9.3766257896692764</v>
      </c>
      <c r="J24" s="119">
        <f t="shared" si="12"/>
        <v>110.55369751021925</v>
      </c>
      <c r="K24" s="120">
        <f t="shared" si="6"/>
        <v>26.941657376439991</v>
      </c>
      <c r="L24" s="120">
        <f>1480/10.764</f>
        <v>137.49535488665924</v>
      </c>
      <c r="M24" s="121">
        <f t="shared" si="7"/>
        <v>44.847143854191707</v>
      </c>
      <c r="N24" s="112">
        <v>1</v>
      </c>
      <c r="O24" s="113"/>
      <c r="P24" s="161"/>
    </row>
    <row r="25" spans="1:16" ht="16.5" customHeight="1" x14ac:dyDescent="0.25">
      <c r="A25" s="115">
        <v>17</v>
      </c>
      <c r="B25" s="179"/>
      <c r="C25" s="184"/>
      <c r="D25" s="116">
        <v>208</v>
      </c>
      <c r="E25" s="117" t="s">
        <v>126</v>
      </c>
      <c r="F25" s="118">
        <f t="shared" si="4"/>
        <v>92.329059829059844</v>
      </c>
      <c r="G25" s="119">
        <f t="shared" si="4"/>
        <v>5.1198439241917502</v>
      </c>
      <c r="H25" s="121" t="str">
        <f t="shared" si="4"/>
        <v>-</v>
      </c>
      <c r="I25" s="119">
        <f t="shared" ref="I25:J25" si="13">I15</f>
        <v>9.2958008175399414</v>
      </c>
      <c r="J25" s="119">
        <f t="shared" si="13"/>
        <v>106.74470457079154</v>
      </c>
      <c r="K25" s="120">
        <f t="shared" si="6"/>
        <v>26.105536975102197</v>
      </c>
      <c r="L25" s="120">
        <f>1430/10.764</f>
        <v>132.85024154589374</v>
      </c>
      <c r="M25" s="121">
        <f t="shared" si="7"/>
        <v>43.332037642901447</v>
      </c>
      <c r="N25" s="112">
        <v>1</v>
      </c>
      <c r="O25" s="113"/>
      <c r="P25" s="161"/>
    </row>
    <row r="26" spans="1:16" ht="16.5" customHeight="1" x14ac:dyDescent="0.25">
      <c r="A26" s="115">
        <v>18</v>
      </c>
      <c r="B26" s="179"/>
      <c r="C26" s="184"/>
      <c r="D26" s="116">
        <v>209</v>
      </c>
      <c r="E26" s="117" t="s">
        <v>135</v>
      </c>
      <c r="F26" s="118">
        <f t="shared" si="4"/>
        <v>70.525826830174665</v>
      </c>
      <c r="G26" s="119">
        <f t="shared" si="4"/>
        <v>2.4210330732069862</v>
      </c>
      <c r="H26" s="121" t="str">
        <f t="shared" si="4"/>
        <v>-</v>
      </c>
      <c r="I26" s="119">
        <f t="shared" ref="I26:J26" si="14">I16</f>
        <v>8.5284280936454877</v>
      </c>
      <c r="J26" s="119">
        <f t="shared" si="14"/>
        <v>81.475287997027138</v>
      </c>
      <c r="K26" s="120">
        <f t="shared" si="6"/>
        <v>19.788182831661089</v>
      </c>
      <c r="L26" s="120">
        <f>1090/10.764</f>
        <v>101.26347082868823</v>
      </c>
      <c r="M26" s="121">
        <f t="shared" si="7"/>
        <v>33.029315406127672</v>
      </c>
      <c r="N26" s="112">
        <v>0</v>
      </c>
      <c r="O26" s="113">
        <v>1</v>
      </c>
      <c r="P26" s="161"/>
    </row>
    <row r="27" spans="1:16" ht="16.5" customHeight="1" x14ac:dyDescent="0.25">
      <c r="A27" s="115"/>
      <c r="B27" s="179"/>
      <c r="C27" s="174"/>
      <c r="D27" s="116"/>
      <c r="E27" s="117"/>
      <c r="F27" s="118"/>
      <c r="G27" s="119"/>
      <c r="H27" s="121"/>
      <c r="I27" s="121"/>
      <c r="J27" s="121"/>
      <c r="K27" s="120"/>
      <c r="L27" s="120"/>
      <c r="M27" s="121"/>
      <c r="N27" s="112"/>
      <c r="O27" s="113"/>
      <c r="P27" s="161"/>
    </row>
    <row r="28" spans="1:16" ht="16.5" customHeight="1" x14ac:dyDescent="0.25">
      <c r="A28" s="115">
        <v>19</v>
      </c>
      <c r="B28" s="179"/>
      <c r="C28" s="183" t="s">
        <v>156</v>
      </c>
      <c r="D28" s="116">
        <v>301</v>
      </c>
      <c r="E28" s="117" t="s">
        <v>126</v>
      </c>
      <c r="F28" s="118">
        <f t="shared" ref="F28:K28" si="15">F18</f>
        <v>86.651802303976226</v>
      </c>
      <c r="G28" s="119">
        <f t="shared" si="15"/>
        <v>3.4057971014492754</v>
      </c>
      <c r="H28" s="121">
        <f t="shared" si="15"/>
        <v>3.4476031215161651</v>
      </c>
      <c r="I28" s="119">
        <f t="shared" si="15"/>
        <v>12.496283909327374</v>
      </c>
      <c r="J28" s="119">
        <f t="shared" si="15"/>
        <v>106.00148643626905</v>
      </c>
      <c r="K28" s="120">
        <f t="shared" si="15"/>
        <v>25.919732441471567</v>
      </c>
      <c r="L28" s="120">
        <f>1420/10.764</f>
        <v>131.92121887774061</v>
      </c>
      <c r="M28" s="121">
        <f>M18</f>
        <v>43.029016400643386</v>
      </c>
      <c r="N28" s="112">
        <v>0</v>
      </c>
      <c r="O28" s="113">
        <v>1</v>
      </c>
      <c r="P28" s="161"/>
    </row>
    <row r="29" spans="1:16" ht="16.5" customHeight="1" x14ac:dyDescent="0.25">
      <c r="A29" s="115">
        <v>20</v>
      </c>
      <c r="B29" s="179"/>
      <c r="C29" s="184"/>
      <c r="D29" s="116">
        <v>302</v>
      </c>
      <c r="E29" s="117" t="s">
        <v>126</v>
      </c>
      <c r="F29" s="118">
        <f t="shared" ref="F29:J30" si="16">F19</f>
        <v>101.89799331103679</v>
      </c>
      <c r="G29" s="119">
        <f t="shared" si="16"/>
        <v>5.4580081753994802</v>
      </c>
      <c r="H29" s="121">
        <f t="shared" si="16"/>
        <v>5.6131549609810483</v>
      </c>
      <c r="I29" s="119">
        <f t="shared" si="16"/>
        <v>9.2902266815310384</v>
      </c>
      <c r="J29" s="119">
        <f t="shared" si="16"/>
        <v>122.25938312894836</v>
      </c>
      <c r="K29" s="120">
        <f t="shared" ref="K29:K36" si="17">K19</f>
        <v>30.100334448160524</v>
      </c>
      <c r="L29" s="120">
        <f>1640/10.764</f>
        <v>152.35971757710888</v>
      </c>
      <c r="M29" s="121">
        <f t="shared" ref="M29:M36" si="18">M19</f>
        <v>49.695483730320532</v>
      </c>
      <c r="N29" s="112">
        <v>1</v>
      </c>
      <c r="O29" s="113"/>
      <c r="P29" s="161"/>
    </row>
    <row r="30" spans="1:16" ht="16.5" customHeight="1" x14ac:dyDescent="0.25">
      <c r="A30" s="115">
        <v>21</v>
      </c>
      <c r="B30" s="179"/>
      <c r="C30" s="184"/>
      <c r="D30" s="116">
        <v>303</v>
      </c>
      <c r="E30" s="117" t="s">
        <v>135</v>
      </c>
      <c r="F30" s="118">
        <f t="shared" si="16"/>
        <v>77.159048680787819</v>
      </c>
      <c r="G30" s="119">
        <f t="shared" si="16"/>
        <v>5.574136008918618</v>
      </c>
      <c r="H30" s="121">
        <f t="shared" si="16"/>
        <v>4.5680044593088072</v>
      </c>
      <c r="I30" s="119">
        <f t="shared" si="16"/>
        <v>9.4100706057227796</v>
      </c>
      <c r="J30" s="119">
        <f t="shared" si="16"/>
        <v>96.711259754738023</v>
      </c>
      <c r="K30" s="120">
        <f t="shared" si="17"/>
        <v>23.597175771088814</v>
      </c>
      <c r="L30" s="120">
        <f>1295/10.764</f>
        <v>120.30843552582684</v>
      </c>
      <c r="M30" s="121">
        <f t="shared" si="18"/>
        <v>39.241250872417744</v>
      </c>
      <c r="N30" s="112">
        <v>0</v>
      </c>
      <c r="O30" s="113">
        <v>1</v>
      </c>
      <c r="P30" s="161"/>
    </row>
    <row r="31" spans="1:16" ht="16.5" customHeight="1" x14ac:dyDescent="0.25">
      <c r="A31" s="115">
        <v>22</v>
      </c>
      <c r="B31" s="179"/>
      <c r="C31" s="184"/>
      <c r="D31" s="116">
        <v>304</v>
      </c>
      <c r="E31" s="117" t="s">
        <v>126</v>
      </c>
      <c r="F31" s="118">
        <f t="shared" ref="F31:G36" si="19">F21</f>
        <v>103.57952434039392</v>
      </c>
      <c r="G31" s="119">
        <f t="shared" si="19"/>
        <v>5.6512448903753256</v>
      </c>
      <c r="H31" s="121">
        <f t="shared" ref="H31:J31" si="20">H21</f>
        <v>5.6131549609810483</v>
      </c>
      <c r="I31" s="119">
        <f t="shared" si="20"/>
        <v>9.3664065403195735</v>
      </c>
      <c r="J31" s="119">
        <f t="shared" si="20"/>
        <v>124.21033073206986</v>
      </c>
      <c r="K31" s="120">
        <f t="shared" si="17"/>
        <v>30.471943515421785</v>
      </c>
      <c r="L31" s="120">
        <f>1665/10.764</f>
        <v>154.68227424749165</v>
      </c>
      <c r="M31" s="121">
        <f t="shared" si="18"/>
        <v>50.453036835965669</v>
      </c>
      <c r="N31" s="112">
        <v>1</v>
      </c>
      <c r="O31" s="113"/>
      <c r="P31" s="161"/>
    </row>
    <row r="32" spans="1:16" ht="16.5" customHeight="1" x14ac:dyDescent="0.25">
      <c r="A32" s="115">
        <v>23</v>
      </c>
      <c r="B32" s="179"/>
      <c r="C32" s="184"/>
      <c r="D32" s="116">
        <v>305</v>
      </c>
      <c r="E32" s="117" t="s">
        <v>126</v>
      </c>
      <c r="F32" s="118">
        <f t="shared" si="19"/>
        <v>105.34652545522111</v>
      </c>
      <c r="G32" s="119">
        <f t="shared" si="19"/>
        <v>5.9225195094760315</v>
      </c>
      <c r="H32" s="121">
        <f t="shared" ref="H32:J32" si="21">H22</f>
        <v>5.6131549609810483</v>
      </c>
      <c r="I32" s="119">
        <f t="shared" si="21"/>
        <v>10.115198810850984</v>
      </c>
      <c r="J32" s="119">
        <f t="shared" si="21"/>
        <v>126.99739873652918</v>
      </c>
      <c r="K32" s="120">
        <f t="shared" si="17"/>
        <v>30.936454849498332</v>
      </c>
      <c r="L32" s="120">
        <f>1700/10.764</f>
        <v>157.93385358602751</v>
      </c>
      <c r="M32" s="121">
        <f t="shared" si="18"/>
        <v>51.513611183868854</v>
      </c>
      <c r="N32" s="112">
        <v>1</v>
      </c>
      <c r="O32" s="113"/>
      <c r="P32" s="161"/>
    </row>
    <row r="33" spans="1:16" ht="16.5" customHeight="1" x14ac:dyDescent="0.25">
      <c r="A33" s="115">
        <v>24</v>
      </c>
      <c r="B33" s="179"/>
      <c r="C33" s="184"/>
      <c r="D33" s="116">
        <v>306</v>
      </c>
      <c r="E33" s="117" t="s">
        <v>126</v>
      </c>
      <c r="F33" s="118">
        <f t="shared" si="19"/>
        <v>95.539762170196965</v>
      </c>
      <c r="G33" s="119">
        <f t="shared" si="19"/>
        <v>5.2434039390561127</v>
      </c>
      <c r="H33" s="121" t="str">
        <f t="shared" ref="H33:J33" si="22">H23</f>
        <v>-</v>
      </c>
      <c r="I33" s="119">
        <f t="shared" si="22"/>
        <v>9.7705314009661777</v>
      </c>
      <c r="J33" s="119">
        <f t="shared" si="22"/>
        <v>110.55369751021925</v>
      </c>
      <c r="K33" s="120">
        <f t="shared" si="17"/>
        <v>26.941657376439991</v>
      </c>
      <c r="L33" s="120">
        <f>1480/10.764</f>
        <v>137.49535488665924</v>
      </c>
      <c r="M33" s="121">
        <f t="shared" si="18"/>
        <v>44.847143854191707</v>
      </c>
      <c r="N33" s="112">
        <v>1</v>
      </c>
      <c r="O33" s="113"/>
      <c r="P33" s="161"/>
    </row>
    <row r="34" spans="1:16" ht="16.5" customHeight="1" x14ac:dyDescent="0.25">
      <c r="A34" s="115">
        <v>25</v>
      </c>
      <c r="B34" s="179"/>
      <c r="C34" s="184"/>
      <c r="D34" s="116">
        <v>307</v>
      </c>
      <c r="E34" s="117" t="s">
        <v>126</v>
      </c>
      <c r="F34" s="118">
        <f t="shared" si="19"/>
        <v>95.932738758825707</v>
      </c>
      <c r="G34" s="119">
        <f t="shared" si="19"/>
        <v>5.2443329617242664</v>
      </c>
      <c r="H34" s="121" t="str">
        <f>H24</f>
        <v>-</v>
      </c>
      <c r="I34" s="119">
        <f t="shared" ref="I34:J34" si="23">I24</f>
        <v>9.3766257896692764</v>
      </c>
      <c r="J34" s="119">
        <f t="shared" si="23"/>
        <v>110.55369751021925</v>
      </c>
      <c r="K34" s="120">
        <f t="shared" si="17"/>
        <v>26.941657376439991</v>
      </c>
      <c r="L34" s="120">
        <f>1480/10.764</f>
        <v>137.49535488665924</v>
      </c>
      <c r="M34" s="121">
        <f t="shared" si="18"/>
        <v>44.847143854191707</v>
      </c>
      <c r="N34" s="112">
        <v>1</v>
      </c>
      <c r="O34" s="113"/>
      <c r="P34" s="161"/>
    </row>
    <row r="35" spans="1:16" ht="16.5" customHeight="1" x14ac:dyDescent="0.25">
      <c r="A35" s="115">
        <v>26</v>
      </c>
      <c r="B35" s="179"/>
      <c r="C35" s="184"/>
      <c r="D35" s="116">
        <v>308</v>
      </c>
      <c r="E35" s="117" t="s">
        <v>126</v>
      </c>
      <c r="F35" s="118">
        <f t="shared" si="19"/>
        <v>92.329059829059844</v>
      </c>
      <c r="G35" s="119">
        <f t="shared" si="19"/>
        <v>5.1198439241917502</v>
      </c>
      <c r="H35" s="121" t="str">
        <f>H25</f>
        <v>-</v>
      </c>
      <c r="I35" s="119">
        <f t="shared" ref="I35:J35" si="24">I25</f>
        <v>9.2958008175399414</v>
      </c>
      <c r="J35" s="119">
        <f t="shared" si="24"/>
        <v>106.74470457079154</v>
      </c>
      <c r="K35" s="120">
        <f t="shared" si="17"/>
        <v>26.105536975102197</v>
      </c>
      <c r="L35" s="120">
        <f>1430/10.764</f>
        <v>132.85024154589374</v>
      </c>
      <c r="M35" s="121">
        <f t="shared" si="18"/>
        <v>43.332037642901447</v>
      </c>
      <c r="N35" s="112">
        <v>1</v>
      </c>
      <c r="O35" s="113"/>
      <c r="P35" s="161"/>
    </row>
    <row r="36" spans="1:16" ht="16.5" customHeight="1" x14ac:dyDescent="0.25">
      <c r="A36" s="115">
        <v>27</v>
      </c>
      <c r="B36" s="179"/>
      <c r="C36" s="184"/>
      <c r="D36" s="116">
        <v>309</v>
      </c>
      <c r="E36" s="117" t="s">
        <v>135</v>
      </c>
      <c r="F36" s="118">
        <f t="shared" si="19"/>
        <v>70.525826830174665</v>
      </c>
      <c r="G36" s="119">
        <f t="shared" si="19"/>
        <v>2.4210330732069862</v>
      </c>
      <c r="H36" s="121" t="str">
        <f>H26</f>
        <v>-</v>
      </c>
      <c r="I36" s="119">
        <f t="shared" ref="I36:J36" si="25">I26</f>
        <v>8.5284280936454877</v>
      </c>
      <c r="J36" s="119">
        <f t="shared" si="25"/>
        <v>81.475287997027138</v>
      </c>
      <c r="K36" s="120">
        <f t="shared" si="17"/>
        <v>19.788182831661089</v>
      </c>
      <c r="L36" s="120">
        <f>1090/10.764</f>
        <v>101.26347082868823</v>
      </c>
      <c r="M36" s="121">
        <f t="shared" si="18"/>
        <v>33.029315406127672</v>
      </c>
      <c r="N36" s="112">
        <v>0</v>
      </c>
      <c r="O36" s="113">
        <v>1</v>
      </c>
      <c r="P36" s="161"/>
    </row>
    <row r="37" spans="1:16" ht="16.5" customHeight="1" x14ac:dyDescent="0.25">
      <c r="A37" s="115"/>
      <c r="B37" s="179"/>
      <c r="C37" s="174"/>
      <c r="D37" s="116"/>
      <c r="E37" s="117"/>
      <c r="F37" s="118"/>
      <c r="G37" s="119"/>
      <c r="H37" s="121"/>
      <c r="I37" s="121"/>
      <c r="J37" s="121"/>
      <c r="K37" s="120"/>
      <c r="L37" s="120"/>
      <c r="M37" s="121"/>
      <c r="N37" s="112"/>
      <c r="O37" s="113"/>
      <c r="P37" s="161"/>
    </row>
    <row r="38" spans="1:16" ht="16.5" customHeight="1" x14ac:dyDescent="0.25">
      <c r="A38" s="115">
        <v>28</v>
      </c>
      <c r="B38" s="179"/>
      <c r="C38" s="183" t="s">
        <v>157</v>
      </c>
      <c r="D38" s="116">
        <v>401</v>
      </c>
      <c r="E38" s="117" t="s">
        <v>126</v>
      </c>
      <c r="F38" s="118">
        <f t="shared" ref="F38:K38" si="26">F28</f>
        <v>86.651802303976226</v>
      </c>
      <c r="G38" s="119">
        <f t="shared" si="26"/>
        <v>3.4057971014492754</v>
      </c>
      <c r="H38" s="121">
        <f t="shared" si="26"/>
        <v>3.4476031215161651</v>
      </c>
      <c r="I38" s="119">
        <f t="shared" si="26"/>
        <v>12.496283909327374</v>
      </c>
      <c r="J38" s="119">
        <f t="shared" si="26"/>
        <v>106.00148643626905</v>
      </c>
      <c r="K38" s="120">
        <f t="shared" si="26"/>
        <v>25.919732441471567</v>
      </c>
      <c r="L38" s="120">
        <f>1420/10.764</f>
        <v>131.92121887774061</v>
      </c>
      <c r="M38" s="121">
        <f>M28</f>
        <v>43.029016400643386</v>
      </c>
      <c r="N38" s="112">
        <v>0</v>
      </c>
      <c r="O38" s="113">
        <v>1</v>
      </c>
      <c r="P38" s="161"/>
    </row>
    <row r="39" spans="1:16" ht="16.5" customHeight="1" x14ac:dyDescent="0.25">
      <c r="A39" s="115">
        <v>29</v>
      </c>
      <c r="B39" s="179"/>
      <c r="C39" s="184"/>
      <c r="D39" s="116">
        <v>402</v>
      </c>
      <c r="E39" s="117" t="s">
        <v>126</v>
      </c>
      <c r="F39" s="118">
        <f t="shared" ref="F39:J40" si="27">F29</f>
        <v>101.89799331103679</v>
      </c>
      <c r="G39" s="119">
        <f t="shared" si="27"/>
        <v>5.4580081753994802</v>
      </c>
      <c r="H39" s="121">
        <f t="shared" si="27"/>
        <v>5.6131549609810483</v>
      </c>
      <c r="I39" s="119">
        <f t="shared" si="27"/>
        <v>9.2902266815310384</v>
      </c>
      <c r="J39" s="119">
        <f t="shared" si="27"/>
        <v>122.25938312894836</v>
      </c>
      <c r="K39" s="120">
        <f t="shared" ref="K39:K46" si="28">K29</f>
        <v>30.100334448160524</v>
      </c>
      <c r="L39" s="120">
        <f>1640/10.764</f>
        <v>152.35971757710888</v>
      </c>
      <c r="M39" s="121">
        <f t="shared" ref="M39:M46" si="29">M29</f>
        <v>49.695483730320532</v>
      </c>
      <c r="N39" s="112">
        <v>1</v>
      </c>
      <c r="O39" s="113"/>
      <c r="P39" s="161"/>
    </row>
    <row r="40" spans="1:16" ht="16.5" customHeight="1" x14ac:dyDescent="0.25">
      <c r="A40" s="115">
        <v>30</v>
      </c>
      <c r="B40" s="179"/>
      <c r="C40" s="184"/>
      <c r="D40" s="116">
        <v>403</v>
      </c>
      <c r="E40" s="117" t="s">
        <v>135</v>
      </c>
      <c r="F40" s="118">
        <f t="shared" si="27"/>
        <v>77.159048680787819</v>
      </c>
      <c r="G40" s="119">
        <f t="shared" si="27"/>
        <v>5.574136008918618</v>
      </c>
      <c r="H40" s="121">
        <f t="shared" si="27"/>
        <v>4.5680044593088072</v>
      </c>
      <c r="I40" s="119">
        <f t="shared" si="27"/>
        <v>9.4100706057227796</v>
      </c>
      <c r="J40" s="119">
        <f t="shared" si="27"/>
        <v>96.711259754738023</v>
      </c>
      <c r="K40" s="120">
        <f t="shared" si="28"/>
        <v>23.597175771088814</v>
      </c>
      <c r="L40" s="120">
        <f>1295/10.764</f>
        <v>120.30843552582684</v>
      </c>
      <c r="M40" s="121">
        <f t="shared" si="29"/>
        <v>39.241250872417744</v>
      </c>
      <c r="N40" s="112">
        <v>0</v>
      </c>
      <c r="O40" s="113"/>
      <c r="P40" s="161"/>
    </row>
    <row r="41" spans="1:16" ht="16.5" customHeight="1" x14ac:dyDescent="0.25">
      <c r="A41" s="115">
        <v>31</v>
      </c>
      <c r="B41" s="179"/>
      <c r="C41" s="184"/>
      <c r="D41" s="116">
        <v>404</v>
      </c>
      <c r="E41" s="117" t="s">
        <v>126</v>
      </c>
      <c r="F41" s="118">
        <f t="shared" ref="F41:G46" si="30">F31</f>
        <v>103.57952434039392</v>
      </c>
      <c r="G41" s="119">
        <f t="shared" si="30"/>
        <v>5.6512448903753256</v>
      </c>
      <c r="H41" s="121">
        <f t="shared" ref="H41:J41" si="31">H31</f>
        <v>5.6131549609810483</v>
      </c>
      <c r="I41" s="119">
        <f t="shared" si="31"/>
        <v>9.3664065403195735</v>
      </c>
      <c r="J41" s="119">
        <f t="shared" si="31"/>
        <v>124.21033073206986</v>
      </c>
      <c r="K41" s="120">
        <f t="shared" si="28"/>
        <v>30.471943515421785</v>
      </c>
      <c r="L41" s="120">
        <f>1665/10.764</f>
        <v>154.68227424749165</v>
      </c>
      <c r="M41" s="121">
        <f t="shared" si="29"/>
        <v>50.453036835965669</v>
      </c>
      <c r="N41" s="112">
        <v>1</v>
      </c>
      <c r="O41" s="113">
        <v>1</v>
      </c>
      <c r="P41" s="161"/>
    </row>
    <row r="42" spans="1:16" ht="16.5" customHeight="1" x14ac:dyDescent="0.25">
      <c r="A42" s="115">
        <v>32</v>
      </c>
      <c r="B42" s="179"/>
      <c r="C42" s="184"/>
      <c r="D42" s="116">
        <v>405</v>
      </c>
      <c r="E42" s="117" t="s">
        <v>126</v>
      </c>
      <c r="F42" s="118">
        <f t="shared" si="30"/>
        <v>105.34652545522111</v>
      </c>
      <c r="G42" s="119">
        <f t="shared" si="30"/>
        <v>5.9225195094760315</v>
      </c>
      <c r="H42" s="121">
        <f>H32</f>
        <v>5.6131549609810483</v>
      </c>
      <c r="I42" s="119">
        <f t="shared" ref="I42:J42" si="32">I32</f>
        <v>10.115198810850984</v>
      </c>
      <c r="J42" s="119">
        <f t="shared" si="32"/>
        <v>126.99739873652918</v>
      </c>
      <c r="K42" s="120">
        <f t="shared" si="28"/>
        <v>30.936454849498332</v>
      </c>
      <c r="L42" s="120">
        <f>1700/10.764</f>
        <v>157.93385358602751</v>
      </c>
      <c r="M42" s="121">
        <f t="shared" si="29"/>
        <v>51.513611183868854</v>
      </c>
      <c r="N42" s="112">
        <v>1</v>
      </c>
      <c r="O42" s="113"/>
      <c r="P42" s="161"/>
    </row>
    <row r="43" spans="1:16" ht="16.5" customHeight="1" x14ac:dyDescent="0.25">
      <c r="A43" s="115">
        <v>33</v>
      </c>
      <c r="B43" s="179"/>
      <c r="C43" s="184"/>
      <c r="D43" s="116">
        <v>406</v>
      </c>
      <c r="E43" s="117" t="s">
        <v>126</v>
      </c>
      <c r="F43" s="118">
        <f t="shared" si="30"/>
        <v>95.539762170196965</v>
      </c>
      <c r="G43" s="119">
        <f t="shared" si="30"/>
        <v>5.2434039390561127</v>
      </c>
      <c r="H43" s="121" t="str">
        <f>H33</f>
        <v>-</v>
      </c>
      <c r="I43" s="119">
        <f t="shared" ref="I43:J43" si="33">I33</f>
        <v>9.7705314009661777</v>
      </c>
      <c r="J43" s="119">
        <f t="shared" si="33"/>
        <v>110.55369751021925</v>
      </c>
      <c r="K43" s="120">
        <f t="shared" si="28"/>
        <v>26.941657376439991</v>
      </c>
      <c r="L43" s="120">
        <f>1480/10.764</f>
        <v>137.49535488665924</v>
      </c>
      <c r="M43" s="121">
        <f t="shared" si="29"/>
        <v>44.847143854191707</v>
      </c>
      <c r="N43" s="112">
        <v>1</v>
      </c>
      <c r="O43" s="113"/>
      <c r="P43" s="161"/>
    </row>
    <row r="44" spans="1:16" ht="16.5" customHeight="1" x14ac:dyDescent="0.25">
      <c r="A44" s="115">
        <v>34</v>
      </c>
      <c r="B44" s="179"/>
      <c r="C44" s="184"/>
      <c r="D44" s="116">
        <v>407</v>
      </c>
      <c r="E44" s="117" t="s">
        <v>126</v>
      </c>
      <c r="F44" s="118">
        <f t="shared" si="30"/>
        <v>95.932738758825707</v>
      </c>
      <c r="G44" s="119">
        <f t="shared" si="30"/>
        <v>5.2443329617242664</v>
      </c>
      <c r="H44" s="121" t="str">
        <f>H34</f>
        <v>-</v>
      </c>
      <c r="I44" s="119">
        <f t="shared" ref="I44:J44" si="34">I34</f>
        <v>9.3766257896692764</v>
      </c>
      <c r="J44" s="119">
        <f t="shared" si="34"/>
        <v>110.55369751021925</v>
      </c>
      <c r="K44" s="120">
        <f t="shared" si="28"/>
        <v>26.941657376439991</v>
      </c>
      <c r="L44" s="120">
        <f>1480/10.764</f>
        <v>137.49535488665924</v>
      </c>
      <c r="M44" s="121">
        <f t="shared" si="29"/>
        <v>44.847143854191707</v>
      </c>
      <c r="N44" s="112">
        <v>1</v>
      </c>
      <c r="O44" s="113"/>
      <c r="P44" s="161"/>
    </row>
    <row r="45" spans="1:16" ht="16.5" customHeight="1" x14ac:dyDescent="0.25">
      <c r="A45" s="115">
        <v>35</v>
      </c>
      <c r="B45" s="179"/>
      <c r="C45" s="184"/>
      <c r="D45" s="116">
        <v>408</v>
      </c>
      <c r="E45" s="117" t="s">
        <v>126</v>
      </c>
      <c r="F45" s="118">
        <f t="shared" si="30"/>
        <v>92.329059829059844</v>
      </c>
      <c r="G45" s="119">
        <f t="shared" si="30"/>
        <v>5.1198439241917502</v>
      </c>
      <c r="H45" s="121" t="str">
        <f>H35</f>
        <v>-</v>
      </c>
      <c r="I45" s="119">
        <f t="shared" ref="I45:J45" si="35">I35</f>
        <v>9.2958008175399414</v>
      </c>
      <c r="J45" s="119">
        <f t="shared" si="35"/>
        <v>106.74470457079154</v>
      </c>
      <c r="K45" s="120">
        <f t="shared" si="28"/>
        <v>26.105536975102197</v>
      </c>
      <c r="L45" s="120">
        <f>1430/10.764</f>
        <v>132.85024154589374</v>
      </c>
      <c r="M45" s="121">
        <f t="shared" si="29"/>
        <v>43.332037642901447</v>
      </c>
      <c r="N45" s="112">
        <v>1</v>
      </c>
      <c r="O45" s="113"/>
      <c r="P45" s="161"/>
    </row>
    <row r="46" spans="1:16" ht="16.5" customHeight="1" x14ac:dyDescent="0.25">
      <c r="A46" s="115">
        <v>36</v>
      </c>
      <c r="B46" s="179"/>
      <c r="C46" s="184"/>
      <c r="D46" s="116">
        <v>409</v>
      </c>
      <c r="E46" s="117" t="s">
        <v>135</v>
      </c>
      <c r="F46" s="118">
        <f t="shared" si="30"/>
        <v>70.525826830174665</v>
      </c>
      <c r="G46" s="119">
        <f t="shared" si="30"/>
        <v>2.4210330732069862</v>
      </c>
      <c r="H46" s="121" t="str">
        <f>H36</f>
        <v>-</v>
      </c>
      <c r="I46" s="119">
        <f t="shared" ref="I46:J46" si="36">I36</f>
        <v>8.5284280936454877</v>
      </c>
      <c r="J46" s="119">
        <f t="shared" si="36"/>
        <v>81.475287997027138</v>
      </c>
      <c r="K46" s="120">
        <f t="shared" si="28"/>
        <v>19.788182831661089</v>
      </c>
      <c r="L46" s="120">
        <f>1090/10.764</f>
        <v>101.26347082868823</v>
      </c>
      <c r="M46" s="121">
        <f t="shared" si="29"/>
        <v>33.029315406127672</v>
      </c>
      <c r="N46" s="112">
        <v>0</v>
      </c>
      <c r="O46" s="113">
        <v>1</v>
      </c>
      <c r="P46" s="161"/>
    </row>
    <row r="47" spans="1:16" ht="16.5" customHeight="1" x14ac:dyDescent="0.25">
      <c r="A47" s="115"/>
      <c r="B47" s="179"/>
      <c r="C47" s="174"/>
      <c r="D47" s="116"/>
      <c r="E47" s="117"/>
      <c r="F47" s="118"/>
      <c r="G47" s="119"/>
      <c r="H47" s="121"/>
      <c r="I47" s="121"/>
      <c r="J47" s="121"/>
      <c r="K47" s="120"/>
      <c r="L47" s="120"/>
      <c r="M47" s="121"/>
      <c r="N47" s="112"/>
      <c r="O47" s="113"/>
      <c r="P47" s="161"/>
    </row>
    <row r="48" spans="1:16" ht="16.5" customHeight="1" x14ac:dyDescent="0.25">
      <c r="A48" s="115">
        <v>37</v>
      </c>
      <c r="B48" s="179"/>
      <c r="C48" s="183" t="s">
        <v>158</v>
      </c>
      <c r="D48" s="116">
        <v>501</v>
      </c>
      <c r="E48" s="117" t="s">
        <v>126</v>
      </c>
      <c r="F48" s="118">
        <f t="shared" ref="F48:K48" si="37">F38</f>
        <v>86.651802303976226</v>
      </c>
      <c r="G48" s="119">
        <f t="shared" si="37"/>
        <v>3.4057971014492754</v>
      </c>
      <c r="H48" s="121">
        <f t="shared" si="37"/>
        <v>3.4476031215161651</v>
      </c>
      <c r="I48" s="119">
        <f t="shared" si="37"/>
        <v>12.496283909327374</v>
      </c>
      <c r="J48" s="119">
        <f t="shared" si="37"/>
        <v>106.00148643626905</v>
      </c>
      <c r="K48" s="120">
        <f t="shared" si="37"/>
        <v>25.919732441471567</v>
      </c>
      <c r="L48" s="120">
        <f>1420/10.764</f>
        <v>131.92121887774061</v>
      </c>
      <c r="M48" s="121">
        <f>M38</f>
        <v>43.029016400643386</v>
      </c>
      <c r="N48" s="112">
        <v>0</v>
      </c>
      <c r="O48" s="113">
        <v>1</v>
      </c>
      <c r="P48" s="161"/>
    </row>
    <row r="49" spans="1:16" ht="16.5" customHeight="1" x14ac:dyDescent="0.25">
      <c r="A49" s="115">
        <v>38</v>
      </c>
      <c r="B49" s="179"/>
      <c r="C49" s="184"/>
      <c r="D49" s="116">
        <v>502</v>
      </c>
      <c r="E49" s="117" t="s">
        <v>126</v>
      </c>
      <c r="F49" s="118">
        <f t="shared" ref="F49:J56" si="38">F39</f>
        <v>101.89799331103679</v>
      </c>
      <c r="G49" s="119">
        <f t="shared" si="38"/>
        <v>5.4580081753994802</v>
      </c>
      <c r="H49" s="121">
        <f t="shared" si="38"/>
        <v>5.6131549609810483</v>
      </c>
      <c r="I49" s="119">
        <f t="shared" si="38"/>
        <v>9.2902266815310384</v>
      </c>
      <c r="J49" s="119">
        <f t="shared" si="38"/>
        <v>122.25938312894836</v>
      </c>
      <c r="K49" s="120">
        <f t="shared" ref="K49:K56" si="39">K39</f>
        <v>30.100334448160524</v>
      </c>
      <c r="L49" s="120">
        <f>1640/10.764</f>
        <v>152.35971757710888</v>
      </c>
      <c r="M49" s="121">
        <f t="shared" ref="M49:M56" si="40">M39</f>
        <v>49.695483730320532</v>
      </c>
      <c r="N49" s="112">
        <v>2</v>
      </c>
      <c r="O49" s="113"/>
      <c r="P49" s="161"/>
    </row>
    <row r="50" spans="1:16" ht="16.5" customHeight="1" x14ac:dyDescent="0.25">
      <c r="A50" s="115">
        <v>39</v>
      </c>
      <c r="B50" s="179"/>
      <c r="C50" s="184"/>
      <c r="D50" s="116">
        <v>503</v>
      </c>
      <c r="E50" s="117" t="s">
        <v>135</v>
      </c>
      <c r="F50" s="118">
        <f t="shared" si="38"/>
        <v>77.159048680787819</v>
      </c>
      <c r="G50" s="119">
        <f t="shared" si="38"/>
        <v>5.574136008918618</v>
      </c>
      <c r="H50" s="121">
        <f t="shared" si="38"/>
        <v>4.5680044593088072</v>
      </c>
      <c r="I50" s="119">
        <f t="shared" si="38"/>
        <v>9.4100706057227796</v>
      </c>
      <c r="J50" s="119">
        <f t="shared" si="38"/>
        <v>96.711259754738023</v>
      </c>
      <c r="K50" s="120">
        <f t="shared" si="39"/>
        <v>23.597175771088814</v>
      </c>
      <c r="L50" s="120">
        <f>1295/10.764</f>
        <v>120.30843552582684</v>
      </c>
      <c r="M50" s="121">
        <f t="shared" si="40"/>
        <v>39.241250872417744</v>
      </c>
      <c r="N50" s="112">
        <v>0</v>
      </c>
      <c r="O50" s="113">
        <v>1</v>
      </c>
      <c r="P50" s="161"/>
    </row>
    <row r="51" spans="1:16" ht="16.5" customHeight="1" x14ac:dyDescent="0.25">
      <c r="A51" s="115">
        <v>40</v>
      </c>
      <c r="B51" s="179"/>
      <c r="C51" s="184"/>
      <c r="D51" s="116">
        <v>504</v>
      </c>
      <c r="E51" s="117" t="s">
        <v>126</v>
      </c>
      <c r="F51" s="118">
        <f t="shared" si="38"/>
        <v>103.57952434039392</v>
      </c>
      <c r="G51" s="119">
        <f t="shared" si="38"/>
        <v>5.6512448903753256</v>
      </c>
      <c r="H51" s="121">
        <f t="shared" si="38"/>
        <v>5.6131549609810483</v>
      </c>
      <c r="I51" s="119">
        <f t="shared" si="38"/>
        <v>9.3664065403195735</v>
      </c>
      <c r="J51" s="119">
        <f t="shared" si="38"/>
        <v>124.21033073206986</v>
      </c>
      <c r="K51" s="120">
        <f t="shared" si="39"/>
        <v>30.471943515421785</v>
      </c>
      <c r="L51" s="120">
        <f>1665/10.764</f>
        <v>154.68227424749165</v>
      </c>
      <c r="M51" s="121">
        <f t="shared" si="40"/>
        <v>50.453036835965669</v>
      </c>
      <c r="N51" s="112">
        <v>1</v>
      </c>
      <c r="O51" s="113"/>
      <c r="P51" s="161"/>
    </row>
    <row r="52" spans="1:16" ht="16.5" customHeight="1" x14ac:dyDescent="0.25">
      <c r="A52" s="115">
        <v>41</v>
      </c>
      <c r="B52" s="179"/>
      <c r="C52" s="184"/>
      <c r="D52" s="116">
        <v>505</v>
      </c>
      <c r="E52" s="117" t="s">
        <v>126</v>
      </c>
      <c r="F52" s="118">
        <f t="shared" si="38"/>
        <v>105.34652545522111</v>
      </c>
      <c r="G52" s="119">
        <f t="shared" si="38"/>
        <v>5.9225195094760315</v>
      </c>
      <c r="H52" s="121">
        <f t="shared" si="38"/>
        <v>5.6131549609810483</v>
      </c>
      <c r="I52" s="119">
        <f t="shared" si="38"/>
        <v>10.115198810850984</v>
      </c>
      <c r="J52" s="119">
        <f t="shared" si="38"/>
        <v>126.99739873652918</v>
      </c>
      <c r="K52" s="120">
        <f t="shared" si="39"/>
        <v>30.936454849498332</v>
      </c>
      <c r="L52" s="120">
        <f>1700/10.764</f>
        <v>157.93385358602751</v>
      </c>
      <c r="M52" s="121">
        <f t="shared" si="40"/>
        <v>51.513611183868854</v>
      </c>
      <c r="N52" s="112">
        <v>1</v>
      </c>
      <c r="O52" s="113"/>
      <c r="P52" s="161"/>
    </row>
    <row r="53" spans="1:16" ht="16.5" customHeight="1" x14ac:dyDescent="0.25">
      <c r="A53" s="115">
        <v>42</v>
      </c>
      <c r="B53" s="179"/>
      <c r="C53" s="184"/>
      <c r="D53" s="116">
        <v>506</v>
      </c>
      <c r="E53" s="117" t="s">
        <v>126</v>
      </c>
      <c r="F53" s="118">
        <f t="shared" si="38"/>
        <v>95.539762170196965</v>
      </c>
      <c r="G53" s="119">
        <f t="shared" si="38"/>
        <v>5.2434039390561127</v>
      </c>
      <c r="H53" s="121" t="str">
        <f t="shared" si="38"/>
        <v>-</v>
      </c>
      <c r="I53" s="119">
        <f t="shared" si="38"/>
        <v>9.7705314009661777</v>
      </c>
      <c r="J53" s="119">
        <f t="shared" si="38"/>
        <v>110.55369751021925</v>
      </c>
      <c r="K53" s="120">
        <f t="shared" si="39"/>
        <v>26.941657376439991</v>
      </c>
      <c r="L53" s="120">
        <f>1480/10.764</f>
        <v>137.49535488665924</v>
      </c>
      <c r="M53" s="121">
        <f t="shared" si="40"/>
        <v>44.847143854191707</v>
      </c>
      <c r="N53" s="112">
        <v>1</v>
      </c>
      <c r="O53" s="113"/>
      <c r="P53" s="161"/>
    </row>
    <row r="54" spans="1:16" ht="16.5" customHeight="1" x14ac:dyDescent="0.25">
      <c r="A54" s="115">
        <v>43</v>
      </c>
      <c r="B54" s="179"/>
      <c r="C54" s="184"/>
      <c r="D54" s="116">
        <v>507</v>
      </c>
      <c r="E54" s="117" t="s">
        <v>126</v>
      </c>
      <c r="F54" s="118">
        <f t="shared" si="38"/>
        <v>95.932738758825707</v>
      </c>
      <c r="G54" s="119">
        <f t="shared" si="38"/>
        <v>5.2443329617242664</v>
      </c>
      <c r="H54" s="121" t="str">
        <f t="shared" si="38"/>
        <v>-</v>
      </c>
      <c r="I54" s="119">
        <f t="shared" si="38"/>
        <v>9.3766257896692764</v>
      </c>
      <c r="J54" s="119">
        <f t="shared" si="38"/>
        <v>110.55369751021925</v>
      </c>
      <c r="K54" s="120">
        <f t="shared" si="39"/>
        <v>26.941657376439991</v>
      </c>
      <c r="L54" s="120">
        <f>1480/10.764</f>
        <v>137.49535488665924</v>
      </c>
      <c r="M54" s="121">
        <f t="shared" si="40"/>
        <v>44.847143854191707</v>
      </c>
      <c r="N54" s="112">
        <v>1</v>
      </c>
      <c r="O54" s="113"/>
      <c r="P54" s="161"/>
    </row>
    <row r="55" spans="1:16" ht="16.5" customHeight="1" x14ac:dyDescent="0.25">
      <c r="A55" s="115">
        <v>44</v>
      </c>
      <c r="B55" s="179"/>
      <c r="C55" s="184"/>
      <c r="D55" s="116">
        <v>508</v>
      </c>
      <c r="E55" s="117" t="s">
        <v>126</v>
      </c>
      <c r="F55" s="118">
        <f t="shared" si="38"/>
        <v>92.329059829059844</v>
      </c>
      <c r="G55" s="119">
        <f t="shared" si="38"/>
        <v>5.1198439241917502</v>
      </c>
      <c r="H55" s="121" t="str">
        <f t="shared" si="38"/>
        <v>-</v>
      </c>
      <c r="I55" s="119">
        <f t="shared" si="38"/>
        <v>9.2958008175399414</v>
      </c>
      <c r="J55" s="119">
        <f t="shared" si="38"/>
        <v>106.74470457079154</v>
      </c>
      <c r="K55" s="120">
        <f t="shared" si="39"/>
        <v>26.105536975102197</v>
      </c>
      <c r="L55" s="120">
        <f>1430/10.764</f>
        <v>132.85024154589374</v>
      </c>
      <c r="M55" s="121">
        <f t="shared" si="40"/>
        <v>43.332037642901447</v>
      </c>
      <c r="N55" s="112">
        <v>1</v>
      </c>
      <c r="O55" s="113"/>
      <c r="P55" s="161"/>
    </row>
    <row r="56" spans="1:16" ht="16.5" customHeight="1" x14ac:dyDescent="0.25">
      <c r="A56" s="115">
        <v>45</v>
      </c>
      <c r="B56" s="180"/>
      <c r="C56" s="184"/>
      <c r="D56" s="116">
        <v>509</v>
      </c>
      <c r="E56" s="117" t="s">
        <v>135</v>
      </c>
      <c r="F56" s="118">
        <f t="shared" si="38"/>
        <v>70.525826830174665</v>
      </c>
      <c r="G56" s="119">
        <f t="shared" si="38"/>
        <v>2.4210330732069862</v>
      </c>
      <c r="H56" s="121" t="str">
        <f t="shared" si="38"/>
        <v>-</v>
      </c>
      <c r="I56" s="119">
        <f t="shared" si="38"/>
        <v>8.5284280936454877</v>
      </c>
      <c r="J56" s="119">
        <f t="shared" si="38"/>
        <v>81.475287997027138</v>
      </c>
      <c r="K56" s="120">
        <f t="shared" si="39"/>
        <v>19.788182831661089</v>
      </c>
      <c r="L56" s="120">
        <f>1090/10.764</f>
        <v>101.26347082868823</v>
      </c>
      <c r="M56" s="121">
        <f t="shared" si="40"/>
        <v>33.029315406127672</v>
      </c>
      <c r="N56" s="112">
        <v>0</v>
      </c>
      <c r="O56" s="113">
        <v>1</v>
      </c>
      <c r="P56" s="161"/>
    </row>
    <row r="57" spans="1:16" ht="16.5" customHeight="1" x14ac:dyDescent="0.25">
      <c r="A57" s="110"/>
      <c r="B57" s="155"/>
      <c r="C57" s="155"/>
      <c r="D57" s="190" t="s">
        <v>136</v>
      </c>
      <c r="E57" s="191"/>
      <c r="F57" s="191"/>
      <c r="G57" s="192"/>
      <c r="H57" s="122"/>
      <c r="I57" s="122"/>
      <c r="J57" s="122"/>
      <c r="K57" s="111"/>
      <c r="L57" s="111"/>
      <c r="M57" s="122"/>
      <c r="N57" s="112"/>
      <c r="O57" s="113">
        <v>4</v>
      </c>
      <c r="P57" s="161"/>
    </row>
    <row r="58" spans="1:16" ht="22.5" customHeight="1" thickBot="1" x14ac:dyDescent="0.3">
      <c r="A58" s="187"/>
      <c r="B58" s="188"/>
      <c r="C58" s="188"/>
      <c r="D58" s="188"/>
      <c r="E58" s="189"/>
      <c r="F58" s="124">
        <f t="shared" ref="F58:M58" si="41">SUM(F8:F57)</f>
        <v>4144.8114083983646</v>
      </c>
      <c r="G58" s="124">
        <f t="shared" si="41"/>
        <v>220.20159791898919</v>
      </c>
      <c r="H58" s="123">
        <f t="shared" si="41"/>
        <v>124.27536231884061</v>
      </c>
      <c r="I58" s="123">
        <f t="shared" si="41"/>
        <v>438.24786324786317</v>
      </c>
      <c r="J58" s="123">
        <f t="shared" si="41"/>
        <v>4927.536231884058</v>
      </c>
      <c r="K58" s="124">
        <f t="shared" si="41"/>
        <v>1204.0133779264211</v>
      </c>
      <c r="L58" s="124">
        <f t="shared" si="41"/>
        <v>6131.5496098104795</v>
      </c>
      <c r="M58" s="124">
        <f t="shared" si="41"/>
        <v>1999.940198903143</v>
      </c>
      <c r="N58" s="114">
        <f>SUM(N7:N57)</f>
        <v>31</v>
      </c>
      <c r="O58" s="144">
        <f>SUM(O7:O57)</f>
        <v>19</v>
      </c>
      <c r="P58" s="162"/>
    </row>
    <row r="59" spans="1:16" ht="15.75" customHeight="1" x14ac:dyDescent="0.25">
      <c r="A59" s="145"/>
      <c r="B59" s="137"/>
      <c r="C59" s="137"/>
      <c r="D59" s="137"/>
      <c r="E59" s="107"/>
      <c r="F59" s="138"/>
      <c r="G59" s="138"/>
      <c r="H59" s="138"/>
      <c r="I59" s="138"/>
      <c r="J59" s="138"/>
      <c r="K59" s="109"/>
      <c r="L59" s="109"/>
      <c r="M59" s="109"/>
      <c r="O59" s="146"/>
    </row>
    <row r="60" spans="1:16" ht="18.75" x14ac:dyDescent="0.25">
      <c r="A60" s="185" t="s">
        <v>128</v>
      </c>
      <c r="B60" s="185"/>
      <c r="C60" s="185"/>
      <c r="D60" s="185"/>
      <c r="E60" s="154">
        <v>1999.94</v>
      </c>
      <c r="F60" s="186">
        <f>E60/E61</f>
        <v>0.32617206516656722</v>
      </c>
      <c r="G60" s="152"/>
      <c r="H60" s="138"/>
      <c r="I60" s="138"/>
      <c r="J60" s="138"/>
      <c r="K60" s="109"/>
      <c r="L60" s="109"/>
      <c r="M60" s="109"/>
      <c r="O60" s="146"/>
    </row>
    <row r="61" spans="1:16" ht="18.75" x14ac:dyDescent="0.25">
      <c r="A61" s="185" t="s">
        <v>127</v>
      </c>
      <c r="B61" s="185"/>
      <c r="C61" s="185"/>
      <c r="D61" s="185"/>
      <c r="E61" s="154">
        <f>6131.549</f>
        <v>6131.549</v>
      </c>
      <c r="F61" s="186"/>
      <c r="G61" s="152"/>
      <c r="H61" s="138"/>
      <c r="I61" s="138"/>
      <c r="J61" s="138"/>
      <c r="K61" s="109"/>
      <c r="L61" s="109"/>
      <c r="M61" s="109"/>
      <c r="O61" s="146"/>
    </row>
    <row r="62" spans="1:16" ht="15" customHeight="1" thickBot="1" x14ac:dyDescent="0.25">
      <c r="A62" s="147"/>
      <c r="B62" s="148"/>
      <c r="C62" s="148"/>
      <c r="D62" s="148"/>
      <c r="E62" s="149"/>
      <c r="F62" s="148"/>
      <c r="G62" s="151"/>
      <c r="H62" s="148"/>
      <c r="I62" s="148"/>
      <c r="J62" s="148"/>
      <c r="K62" s="149"/>
      <c r="L62" s="149"/>
      <c r="M62" s="149"/>
      <c r="N62" s="149"/>
      <c r="O62" s="150"/>
    </row>
    <row r="63" spans="1:16" ht="15" x14ac:dyDescent="0.25">
      <c r="A63" s="107"/>
      <c r="B63" s="107"/>
      <c r="C63" s="107"/>
      <c r="D63" s="107"/>
      <c r="E63" s="107"/>
      <c r="F63" s="108"/>
      <c r="G63" s="108"/>
      <c r="H63" s="109"/>
      <c r="I63" s="109"/>
      <c r="J63" s="109"/>
      <c r="K63" s="109"/>
      <c r="L63" s="109"/>
      <c r="M63" s="109"/>
    </row>
    <row r="64" spans="1:16" ht="16.5" customHeight="1" x14ac:dyDescent="0.25">
      <c r="A64" s="107" t="s">
        <v>159</v>
      </c>
      <c r="B64" s="107"/>
      <c r="C64" s="107"/>
      <c r="D64" s="107"/>
      <c r="E64" s="107"/>
      <c r="F64" s="108"/>
      <c r="G64" s="108"/>
      <c r="H64" s="109"/>
      <c r="I64" s="109"/>
      <c r="J64" s="109"/>
      <c r="K64" s="109"/>
      <c r="L64" s="109"/>
      <c r="M64" s="109"/>
    </row>
    <row r="65" spans="1:6" ht="15" x14ac:dyDescent="0.25">
      <c r="A65" s="109"/>
      <c r="B65" s="109"/>
      <c r="C65" s="109"/>
      <c r="D65" s="109"/>
      <c r="E65" s="109"/>
      <c r="F65" s="109"/>
    </row>
    <row r="66" spans="1:6" ht="16.5" customHeight="1" x14ac:dyDescent="0.25">
      <c r="A66" s="109"/>
      <c r="B66" s="109"/>
      <c r="C66" s="109"/>
      <c r="D66" s="109"/>
      <c r="E66" s="109"/>
      <c r="F66" s="109"/>
    </row>
    <row r="67" spans="1:6" ht="16.5" customHeight="1" x14ac:dyDescent="0.25">
      <c r="A67" s="109"/>
      <c r="B67" s="109"/>
      <c r="C67" s="109"/>
      <c r="D67" s="109"/>
      <c r="E67" s="109"/>
      <c r="F67" s="109"/>
    </row>
    <row r="68" spans="1:6" ht="16.5" customHeight="1" x14ac:dyDescent="0.25">
      <c r="A68" s="109"/>
      <c r="B68" s="109"/>
      <c r="C68" s="109"/>
      <c r="D68" s="109"/>
      <c r="E68" s="109"/>
      <c r="F68" s="109"/>
    </row>
    <row r="69" spans="1:6" ht="16.5" customHeight="1" x14ac:dyDescent="0.25">
      <c r="A69" s="109"/>
      <c r="B69" s="109"/>
      <c r="C69" s="109"/>
      <c r="D69" s="109"/>
      <c r="E69" s="109"/>
      <c r="F69" s="109"/>
    </row>
    <row r="70" spans="1:6" ht="16.5" customHeight="1" x14ac:dyDescent="0.25">
      <c r="A70" s="109"/>
      <c r="B70" s="109"/>
      <c r="C70" s="109"/>
      <c r="D70" s="109"/>
      <c r="E70" s="109"/>
      <c r="F70" s="109"/>
    </row>
    <row r="71" spans="1:6" ht="16.5" customHeight="1" x14ac:dyDescent="0.25">
      <c r="A71" s="109"/>
      <c r="B71" s="109"/>
      <c r="C71" s="109"/>
      <c r="D71" s="109"/>
      <c r="E71" s="109"/>
      <c r="F71" s="109"/>
    </row>
    <row r="72" spans="1:6" ht="13.5" customHeight="1" x14ac:dyDescent="0.2"/>
  </sheetData>
  <mergeCells count="28">
    <mergeCell ref="F3:K3"/>
    <mergeCell ref="A2:O2"/>
    <mergeCell ref="M3:O3"/>
    <mergeCell ref="A5:A6"/>
    <mergeCell ref="D5:D6"/>
    <mergeCell ref="E5:E6"/>
    <mergeCell ref="F5:F6"/>
    <mergeCell ref="K5:K6"/>
    <mergeCell ref="L5:L6"/>
    <mergeCell ref="M5:M6"/>
    <mergeCell ref="N5:O5"/>
    <mergeCell ref="G5:G6"/>
    <mergeCell ref="I5:I6"/>
    <mergeCell ref="J5:J6"/>
    <mergeCell ref="A60:D60"/>
    <mergeCell ref="F60:F61"/>
    <mergeCell ref="A61:D61"/>
    <mergeCell ref="A58:E58"/>
    <mergeCell ref="D57:G57"/>
    <mergeCell ref="B5:B6"/>
    <mergeCell ref="B8:B56"/>
    <mergeCell ref="H5:H6"/>
    <mergeCell ref="C5:C6"/>
    <mergeCell ref="C8:C16"/>
    <mergeCell ref="C18:C26"/>
    <mergeCell ref="C28:C36"/>
    <mergeCell ref="C38:C46"/>
    <mergeCell ref="C48:C56"/>
  </mergeCells>
  <printOptions horizontalCentered="1"/>
  <pageMargins left="0.11811023622047245" right="0.11811023622047245" top="0.78740157480314965" bottom="1.9685039370078741" header="0.31496062992125984" footer="0.31496062992125984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9"/>
  <sheetViews>
    <sheetView topLeftCell="A157" workbookViewId="0">
      <selection activeCell="G173" sqref="G173"/>
    </sheetView>
  </sheetViews>
  <sheetFormatPr defaultRowHeight="12.75" x14ac:dyDescent="0.2"/>
  <cols>
    <col min="1" max="1" width="10.140625" customWidth="1"/>
    <col min="2" max="2" width="11.5703125" customWidth="1"/>
    <col min="3" max="3" width="12.28515625" customWidth="1"/>
    <col min="4" max="4" width="11.140625" customWidth="1"/>
    <col min="5" max="5" width="12" customWidth="1"/>
    <col min="6" max="6" width="11.42578125" customWidth="1"/>
    <col min="7" max="8" width="13.140625" customWidth="1"/>
    <col min="9" max="9" width="9.85546875" customWidth="1"/>
    <col min="10" max="10" width="8.7109375" customWidth="1"/>
    <col min="12" max="13" width="16.140625" customWidth="1"/>
    <col min="14" max="14" width="12" customWidth="1"/>
  </cols>
  <sheetData>
    <row r="1" spans="1:14" ht="15" x14ac:dyDescent="0.25">
      <c r="A1" s="76" t="s">
        <v>98</v>
      </c>
    </row>
    <row r="2" spans="1:14" ht="15" x14ac:dyDescent="0.25">
      <c r="A2" s="76" t="s">
        <v>94</v>
      </c>
    </row>
    <row r="3" spans="1:14" ht="15" customHeight="1" x14ac:dyDescent="0.25">
      <c r="A3" s="211" t="s">
        <v>78</v>
      </c>
      <c r="B3" s="211" t="s">
        <v>79</v>
      </c>
      <c r="C3" s="211" t="s">
        <v>80</v>
      </c>
      <c r="D3" s="211" t="s">
        <v>81</v>
      </c>
      <c r="E3" s="213" t="s">
        <v>82</v>
      </c>
      <c r="F3" s="214"/>
      <c r="G3" s="211" t="s">
        <v>83</v>
      </c>
      <c r="H3" s="99"/>
      <c r="I3" s="211" t="s">
        <v>84</v>
      </c>
      <c r="J3" s="211" t="s">
        <v>77</v>
      </c>
    </row>
    <row r="4" spans="1:14" ht="38.25" x14ac:dyDescent="0.2">
      <c r="A4" s="212"/>
      <c r="B4" s="212"/>
      <c r="C4" s="212"/>
      <c r="D4" s="212"/>
      <c r="E4" s="77" t="s">
        <v>85</v>
      </c>
      <c r="F4" s="77" t="s">
        <v>86</v>
      </c>
      <c r="G4" s="212"/>
      <c r="H4" s="100" t="s">
        <v>122</v>
      </c>
      <c r="I4" s="212"/>
      <c r="J4" s="212"/>
    </row>
    <row r="5" spans="1:14" x14ac:dyDescent="0.2">
      <c r="A5" s="78" t="s">
        <v>47</v>
      </c>
      <c r="B5" s="78" t="s">
        <v>59</v>
      </c>
      <c r="C5" s="92">
        <v>831.95190000000002</v>
      </c>
      <c r="D5" s="92">
        <v>940.15060000000005</v>
      </c>
      <c r="E5" s="79" t="e">
        <f>D5*E19</f>
        <v>#REF!</v>
      </c>
      <c r="F5" s="79">
        <f>D5*E170</f>
        <v>13.537825829233748</v>
      </c>
      <c r="G5" s="79" t="e">
        <f>SUM(D5:F5)</f>
        <v>#REF!</v>
      </c>
      <c r="H5" s="79" t="e">
        <f>ROUND(G5,0)</f>
        <v>#REF!</v>
      </c>
      <c r="I5" s="98">
        <v>9</v>
      </c>
      <c r="J5" s="101" t="e">
        <f t="shared" ref="J5:J16" si="0">C5/H5</f>
        <v>#REF!</v>
      </c>
      <c r="L5" s="90" t="s">
        <v>99</v>
      </c>
      <c r="M5" s="71" t="e">
        <f>C5/G5</f>
        <v>#REF!</v>
      </c>
      <c r="N5" s="91" t="e">
        <f>C5/G5</f>
        <v>#REF!</v>
      </c>
    </row>
    <row r="6" spans="1:14" x14ac:dyDescent="0.2">
      <c r="A6" s="78" t="s">
        <v>48</v>
      </c>
      <c r="B6" s="78" t="s">
        <v>41</v>
      </c>
      <c r="C6" s="92">
        <v>652.21019999999999</v>
      </c>
      <c r="D6" s="92">
        <v>755.32529999999997</v>
      </c>
      <c r="E6" s="79" t="e">
        <f>+D6*E19</f>
        <v>#REF!</v>
      </c>
      <c r="F6" s="79">
        <f>D6*E170</f>
        <v>10.876408902801028</v>
      </c>
      <c r="G6" s="79" t="e">
        <f t="shared" ref="G6:G16" si="1">SUM(D6:F6)</f>
        <v>#REF!</v>
      </c>
      <c r="H6" s="79" t="e">
        <f t="shared" ref="H6:H16" si="2">ROUND(G6,0)</f>
        <v>#REF!</v>
      </c>
      <c r="I6" s="98">
        <v>9</v>
      </c>
      <c r="J6" s="101" t="e">
        <f t="shared" si="0"/>
        <v>#REF!</v>
      </c>
      <c r="L6" s="90" t="s">
        <v>100</v>
      </c>
      <c r="M6" s="90">
        <f>+D5</f>
        <v>940.15060000000005</v>
      </c>
      <c r="N6" s="91"/>
    </row>
    <row r="7" spans="1:14" x14ac:dyDescent="0.2">
      <c r="A7" s="78" t="s">
        <v>49</v>
      </c>
      <c r="B7" s="78" t="s">
        <v>41</v>
      </c>
      <c r="C7" s="92">
        <v>664.50229999999999</v>
      </c>
      <c r="D7" s="92">
        <v>769.44269999999995</v>
      </c>
      <c r="E7" s="79" t="e">
        <f>+D7*E19</f>
        <v>#REF!</v>
      </c>
      <c r="F7" s="79">
        <f>D7*E170</f>
        <v>11.079694315118614</v>
      </c>
      <c r="G7" s="79" t="e">
        <f t="shared" si="1"/>
        <v>#REF!</v>
      </c>
      <c r="H7" s="79" t="e">
        <f t="shared" si="2"/>
        <v>#REF!</v>
      </c>
      <c r="I7" s="98">
        <v>9</v>
      </c>
      <c r="J7" s="101" t="e">
        <f t="shared" si="0"/>
        <v>#REF!</v>
      </c>
      <c r="L7" s="90" t="s">
        <v>101</v>
      </c>
      <c r="M7" s="90">
        <f>+M6-C5</f>
        <v>108.19870000000003</v>
      </c>
      <c r="N7" s="91" t="e">
        <f>M7/G5</f>
        <v>#REF!</v>
      </c>
    </row>
    <row r="8" spans="1:14" x14ac:dyDescent="0.2">
      <c r="A8" s="78" t="s">
        <v>50</v>
      </c>
      <c r="B8" s="78" t="s">
        <v>41</v>
      </c>
      <c r="C8" s="92">
        <v>652.21019999999999</v>
      </c>
      <c r="D8" s="92">
        <v>755.32529999999997</v>
      </c>
      <c r="E8" s="79" t="e">
        <f>+D8*E19</f>
        <v>#REF!</v>
      </c>
      <c r="F8" s="79">
        <f>D8*E170</f>
        <v>10.876408902801028</v>
      </c>
      <c r="G8" s="79" t="e">
        <f t="shared" si="1"/>
        <v>#REF!</v>
      </c>
      <c r="H8" s="79" t="e">
        <f t="shared" si="2"/>
        <v>#REF!</v>
      </c>
      <c r="I8" s="98">
        <v>9</v>
      </c>
      <c r="J8" s="101" t="e">
        <f t="shared" si="0"/>
        <v>#REF!</v>
      </c>
      <c r="L8" s="90" t="s">
        <v>82</v>
      </c>
      <c r="M8" s="90" t="e">
        <f>+E5+F5</f>
        <v>#REF!</v>
      </c>
      <c r="N8" s="91" t="e">
        <f>+M8/G5</f>
        <v>#REF!</v>
      </c>
    </row>
    <row r="9" spans="1:14" x14ac:dyDescent="0.2">
      <c r="A9" s="78" t="s">
        <v>51</v>
      </c>
      <c r="B9" s="78" t="s">
        <v>41</v>
      </c>
      <c r="C9" s="92">
        <v>664.50229999999999</v>
      </c>
      <c r="D9" s="92">
        <v>769.44269999999995</v>
      </c>
      <c r="E9" s="79" t="e">
        <f>D9*E19</f>
        <v>#REF!</v>
      </c>
      <c r="F9" s="79">
        <f>D9*E170</f>
        <v>11.079694315118614</v>
      </c>
      <c r="G9" s="79" t="e">
        <f t="shared" si="1"/>
        <v>#REF!</v>
      </c>
      <c r="H9" s="79" t="e">
        <f t="shared" si="2"/>
        <v>#REF!</v>
      </c>
      <c r="I9" s="98">
        <v>9</v>
      </c>
      <c r="J9" s="101" t="e">
        <f t="shared" si="0"/>
        <v>#REF!</v>
      </c>
      <c r="N9" s="91" t="e">
        <f>SUM(N5:N8)</f>
        <v>#REF!</v>
      </c>
    </row>
    <row r="10" spans="1:14" x14ac:dyDescent="0.2">
      <c r="A10" s="78" t="s">
        <v>52</v>
      </c>
      <c r="B10" s="78" t="s">
        <v>41</v>
      </c>
      <c r="C10" s="92">
        <v>652.21019999999999</v>
      </c>
      <c r="D10" s="92">
        <v>755.32529999999997</v>
      </c>
      <c r="E10" s="79" t="e">
        <f>D10*E19</f>
        <v>#REF!</v>
      </c>
      <c r="F10" s="79">
        <f>D10*E170</f>
        <v>10.876408902801028</v>
      </c>
      <c r="G10" s="79" t="e">
        <f t="shared" si="1"/>
        <v>#REF!</v>
      </c>
      <c r="H10" s="79" t="e">
        <f t="shared" si="2"/>
        <v>#REF!</v>
      </c>
      <c r="I10" s="98">
        <v>9</v>
      </c>
      <c r="J10" s="101" t="e">
        <f t="shared" si="0"/>
        <v>#REF!</v>
      </c>
    </row>
    <row r="11" spans="1:14" x14ac:dyDescent="0.2">
      <c r="A11" s="78" t="s">
        <v>53</v>
      </c>
      <c r="B11" s="83" t="s">
        <v>41</v>
      </c>
      <c r="C11" s="92">
        <v>664.50229999999999</v>
      </c>
      <c r="D11" s="92">
        <v>769.44269999999995</v>
      </c>
      <c r="E11" s="79" t="e">
        <f>D11*E19</f>
        <v>#REF!</v>
      </c>
      <c r="F11" s="79">
        <f>D11*E170</f>
        <v>11.079694315118614</v>
      </c>
      <c r="G11" s="79" t="e">
        <f t="shared" si="1"/>
        <v>#REF!</v>
      </c>
      <c r="H11" s="79" t="e">
        <f t="shared" si="2"/>
        <v>#REF!</v>
      </c>
      <c r="I11" s="98">
        <v>9</v>
      </c>
      <c r="J11" s="101" t="e">
        <f t="shared" si="0"/>
        <v>#REF!</v>
      </c>
    </row>
    <row r="12" spans="1:14" x14ac:dyDescent="0.2">
      <c r="A12" s="78" t="s">
        <v>54</v>
      </c>
      <c r="B12" s="83" t="s">
        <v>41</v>
      </c>
      <c r="C12" s="92">
        <v>661.23609999999996</v>
      </c>
      <c r="D12" s="92">
        <v>765.37929999999994</v>
      </c>
      <c r="E12" s="79" t="e">
        <f>D12*E19</f>
        <v>#REF!</v>
      </c>
      <c r="F12" s="79">
        <f>D12*E170</f>
        <v>11.021182836771944</v>
      </c>
      <c r="G12" s="79" t="e">
        <f t="shared" si="1"/>
        <v>#REF!</v>
      </c>
      <c r="H12" s="79" t="e">
        <f t="shared" si="2"/>
        <v>#REF!</v>
      </c>
      <c r="I12" s="98">
        <v>9</v>
      </c>
      <c r="J12" s="101" t="e">
        <f t="shared" si="0"/>
        <v>#REF!</v>
      </c>
    </row>
    <row r="13" spans="1:14" x14ac:dyDescent="0.2">
      <c r="A13" s="78" t="s">
        <v>55</v>
      </c>
      <c r="B13" s="83" t="s">
        <v>41</v>
      </c>
      <c r="C13" s="92">
        <v>669.7165</v>
      </c>
      <c r="D13" s="92">
        <v>775.00459999999998</v>
      </c>
      <c r="E13" s="79" t="e">
        <f>+D13*E19</f>
        <v>#REF!</v>
      </c>
      <c r="F13" s="79">
        <f>D13*E170</f>
        <v>11.159783647061406</v>
      </c>
      <c r="G13" s="79" t="e">
        <f t="shared" si="1"/>
        <v>#REF!</v>
      </c>
      <c r="H13" s="79" t="e">
        <f t="shared" si="2"/>
        <v>#REF!</v>
      </c>
      <c r="I13" s="98">
        <v>9</v>
      </c>
      <c r="J13" s="101" t="e">
        <f t="shared" si="0"/>
        <v>#REF!</v>
      </c>
    </row>
    <row r="14" spans="1:14" x14ac:dyDescent="0.2">
      <c r="A14" s="78" t="s">
        <v>56</v>
      </c>
      <c r="B14" s="78" t="s">
        <v>41</v>
      </c>
      <c r="C14" s="92">
        <v>667.94579999999996</v>
      </c>
      <c r="D14" s="92">
        <v>771.00109999999995</v>
      </c>
      <c r="E14" s="78" t="e">
        <f>+D14*E19</f>
        <v>#REF!</v>
      </c>
      <c r="F14" s="79">
        <f>D14*E170</f>
        <v>11.102134706873166</v>
      </c>
      <c r="G14" s="79" t="e">
        <f t="shared" si="1"/>
        <v>#REF!</v>
      </c>
      <c r="H14" s="79" t="e">
        <f t="shared" si="2"/>
        <v>#REF!</v>
      </c>
      <c r="I14" s="98">
        <v>9</v>
      </c>
      <c r="J14" s="101" t="e">
        <f t="shared" si="0"/>
        <v>#REF!</v>
      </c>
    </row>
    <row r="15" spans="1:14" x14ac:dyDescent="0.2">
      <c r="A15" s="83" t="s">
        <v>91</v>
      </c>
      <c r="B15" s="78" t="s">
        <v>59</v>
      </c>
      <c r="C15" s="92">
        <v>831.95190000000002</v>
      </c>
      <c r="D15" s="92">
        <v>940.15060000000005</v>
      </c>
      <c r="E15" s="78" t="e">
        <f>D15*E19</f>
        <v>#REF!</v>
      </c>
      <c r="F15" s="79">
        <f>D15*E170</f>
        <v>13.537825829233748</v>
      </c>
      <c r="G15" s="79" t="e">
        <f t="shared" si="1"/>
        <v>#REF!</v>
      </c>
      <c r="H15" s="79" t="e">
        <f t="shared" si="2"/>
        <v>#REF!</v>
      </c>
      <c r="I15" s="98">
        <v>9</v>
      </c>
      <c r="J15" s="101" t="e">
        <f t="shared" si="0"/>
        <v>#REF!</v>
      </c>
    </row>
    <row r="16" spans="1:14" x14ac:dyDescent="0.2">
      <c r="A16" s="83" t="s">
        <v>92</v>
      </c>
      <c r="B16" s="78" t="s">
        <v>41</v>
      </c>
      <c r="C16" s="92">
        <v>667.94579999999996</v>
      </c>
      <c r="D16" s="92">
        <v>771.00109999999995</v>
      </c>
      <c r="E16" s="78" t="e">
        <f>D16*E19</f>
        <v>#REF!</v>
      </c>
      <c r="F16" s="79">
        <f>D16*E170</f>
        <v>11.102134706873166</v>
      </c>
      <c r="G16" s="79" t="e">
        <f t="shared" si="1"/>
        <v>#REF!</v>
      </c>
      <c r="H16" s="79" t="e">
        <f t="shared" si="2"/>
        <v>#REF!</v>
      </c>
      <c r="I16" s="98">
        <v>9</v>
      </c>
      <c r="J16" s="101" t="e">
        <f t="shared" si="0"/>
        <v>#REF!</v>
      </c>
    </row>
    <row r="17" spans="1:14" x14ac:dyDescent="0.2">
      <c r="A17" s="83" t="s">
        <v>87</v>
      </c>
      <c r="B17" s="84"/>
      <c r="C17" s="84"/>
      <c r="D17" s="85">
        <f>SUM(D5:D16)*9</f>
        <v>85832.921699999992</v>
      </c>
      <c r="E17" s="88" t="e">
        <f>SUM(E5:E16)*9</f>
        <v>#REF!</v>
      </c>
      <c r="F17" s="85">
        <f>SUM(F5:F16)*9</f>
        <v>1235.9627748882549</v>
      </c>
      <c r="G17" s="85" t="e">
        <f>SUM(G5:G16)*9</f>
        <v>#REF!</v>
      </c>
      <c r="H17" s="85" t="e">
        <f>SUM(H5:H16)*9</f>
        <v>#REF!</v>
      </c>
      <c r="I17" s="84"/>
      <c r="J17" s="102" t="e">
        <f>AVERAGE(J5:J16)</f>
        <v>#REF!</v>
      </c>
    </row>
    <row r="18" spans="1:14" x14ac:dyDescent="0.2">
      <c r="M18" s="94"/>
      <c r="N18" s="94"/>
    </row>
    <row r="19" spans="1:14" x14ac:dyDescent="0.2">
      <c r="B19" s="216" t="s">
        <v>82</v>
      </c>
      <c r="C19" s="216"/>
      <c r="D19" s="82" t="e">
        <f>+#REF!</f>
        <v>#REF!</v>
      </c>
      <c r="E19" s="217" t="e">
        <f>D19/D20</f>
        <v>#REF!</v>
      </c>
      <c r="L19" s="72"/>
    </row>
    <row r="20" spans="1:14" x14ac:dyDescent="0.2">
      <c r="B20" s="218" t="s">
        <v>88</v>
      </c>
      <c r="C20" s="218"/>
      <c r="D20" s="81">
        <f>D17</f>
        <v>85832.921699999992</v>
      </c>
      <c r="E20" s="217"/>
      <c r="L20" s="72"/>
      <c r="M20" s="94"/>
      <c r="N20" s="94"/>
    </row>
    <row r="21" spans="1:14" ht="15" x14ac:dyDescent="0.25">
      <c r="A21" s="76" t="s">
        <v>93</v>
      </c>
      <c r="L21" s="72"/>
    </row>
    <row r="22" spans="1:14" ht="15" customHeight="1" x14ac:dyDescent="0.25">
      <c r="A22" s="211" t="s">
        <v>78</v>
      </c>
      <c r="B22" s="211" t="s">
        <v>79</v>
      </c>
      <c r="C22" s="211" t="s">
        <v>80</v>
      </c>
      <c r="D22" s="211" t="s">
        <v>81</v>
      </c>
      <c r="E22" s="213" t="s">
        <v>82</v>
      </c>
      <c r="F22" s="214"/>
      <c r="G22" s="211" t="s">
        <v>83</v>
      </c>
      <c r="H22" s="99"/>
      <c r="I22" s="211" t="s">
        <v>84</v>
      </c>
      <c r="J22" s="211" t="s">
        <v>77</v>
      </c>
      <c r="L22" s="72"/>
    </row>
    <row r="23" spans="1:14" ht="38.25" x14ac:dyDescent="0.2">
      <c r="A23" s="212"/>
      <c r="B23" s="212"/>
      <c r="C23" s="212"/>
      <c r="D23" s="212"/>
      <c r="E23" s="77" t="s">
        <v>85</v>
      </c>
      <c r="F23" s="77" t="s">
        <v>86</v>
      </c>
      <c r="G23" s="212"/>
      <c r="H23" s="100" t="s">
        <v>122</v>
      </c>
      <c r="I23" s="212"/>
      <c r="J23" s="212"/>
    </row>
    <row r="24" spans="1:14" x14ac:dyDescent="0.2">
      <c r="A24" s="78" t="s">
        <v>47</v>
      </c>
      <c r="B24" s="78" t="s">
        <v>59</v>
      </c>
      <c r="C24" s="92">
        <v>831.95190000000002</v>
      </c>
      <c r="D24" s="92">
        <v>940.15060000000005</v>
      </c>
      <c r="E24" s="79" t="e">
        <f>D24*E38</f>
        <v>#REF!</v>
      </c>
      <c r="F24" s="79">
        <f>D24*E170</f>
        <v>13.537825829233748</v>
      </c>
      <c r="G24" s="79" t="e">
        <f>SUM(D24:F24)</f>
        <v>#REF!</v>
      </c>
      <c r="H24" s="79" t="e">
        <f t="shared" ref="H24:H35" si="3">ROUND(G24,0)</f>
        <v>#REF!</v>
      </c>
      <c r="I24" s="98">
        <v>9</v>
      </c>
      <c r="J24" s="101" t="e">
        <f t="shared" ref="J24:J35" si="4">C24/H24</f>
        <v>#REF!</v>
      </c>
    </row>
    <row r="25" spans="1:14" x14ac:dyDescent="0.2">
      <c r="A25" s="78" t="s">
        <v>48</v>
      </c>
      <c r="B25" s="78" t="s">
        <v>41</v>
      </c>
      <c r="C25" s="92">
        <v>652.21019999999999</v>
      </c>
      <c r="D25" s="92">
        <v>755.32529999999997</v>
      </c>
      <c r="E25" s="79" t="e">
        <f>+D25*E38</f>
        <v>#REF!</v>
      </c>
      <c r="F25" s="79">
        <f>D25*E170</f>
        <v>10.876408902801028</v>
      </c>
      <c r="G25" s="79" t="e">
        <f t="shared" ref="G25:G35" si="5">SUM(D25:F25)</f>
        <v>#REF!</v>
      </c>
      <c r="H25" s="79" t="e">
        <f t="shared" si="3"/>
        <v>#REF!</v>
      </c>
      <c r="I25" s="98">
        <v>9</v>
      </c>
      <c r="J25" s="101" t="e">
        <f t="shared" si="4"/>
        <v>#REF!</v>
      </c>
    </row>
    <row r="26" spans="1:14" x14ac:dyDescent="0.2">
      <c r="A26" s="78" t="s">
        <v>49</v>
      </c>
      <c r="B26" s="78" t="s">
        <v>41</v>
      </c>
      <c r="C26" s="92">
        <v>664.50229999999999</v>
      </c>
      <c r="D26" s="92">
        <v>769.44269999999995</v>
      </c>
      <c r="E26" s="79" t="e">
        <f>+D26*E38</f>
        <v>#REF!</v>
      </c>
      <c r="F26" s="79">
        <f>D26*E170</f>
        <v>11.079694315118614</v>
      </c>
      <c r="G26" s="79" t="e">
        <f t="shared" si="5"/>
        <v>#REF!</v>
      </c>
      <c r="H26" s="79" t="e">
        <f t="shared" si="3"/>
        <v>#REF!</v>
      </c>
      <c r="I26" s="98">
        <v>9</v>
      </c>
      <c r="J26" s="101" t="e">
        <f t="shared" si="4"/>
        <v>#REF!</v>
      </c>
    </row>
    <row r="27" spans="1:14" x14ac:dyDescent="0.2">
      <c r="A27" s="78" t="s">
        <v>50</v>
      </c>
      <c r="B27" s="78" t="s">
        <v>41</v>
      </c>
      <c r="C27" s="92">
        <v>652.21019999999999</v>
      </c>
      <c r="D27" s="92">
        <v>755.32529999999997</v>
      </c>
      <c r="E27" s="79" t="e">
        <f>+D27*E38</f>
        <v>#REF!</v>
      </c>
      <c r="F27" s="79">
        <f>D27*E170</f>
        <v>10.876408902801028</v>
      </c>
      <c r="G27" s="79" t="e">
        <f t="shared" si="5"/>
        <v>#REF!</v>
      </c>
      <c r="H27" s="79" t="e">
        <f t="shared" si="3"/>
        <v>#REF!</v>
      </c>
      <c r="I27" s="98">
        <v>9</v>
      </c>
      <c r="J27" s="101" t="e">
        <f t="shared" si="4"/>
        <v>#REF!</v>
      </c>
    </row>
    <row r="28" spans="1:14" x14ac:dyDescent="0.2">
      <c r="A28" s="78" t="s">
        <v>51</v>
      </c>
      <c r="B28" s="78" t="s">
        <v>41</v>
      </c>
      <c r="C28" s="92">
        <v>664.50229999999999</v>
      </c>
      <c r="D28" s="92">
        <v>769.44269999999995</v>
      </c>
      <c r="E28" s="79" t="e">
        <f>D28*E38</f>
        <v>#REF!</v>
      </c>
      <c r="F28" s="79">
        <f>D28*E170</f>
        <v>11.079694315118614</v>
      </c>
      <c r="G28" s="79" t="e">
        <f t="shared" si="5"/>
        <v>#REF!</v>
      </c>
      <c r="H28" s="79" t="e">
        <f t="shared" si="3"/>
        <v>#REF!</v>
      </c>
      <c r="I28" s="98">
        <v>9</v>
      </c>
      <c r="J28" s="101" t="e">
        <f t="shared" si="4"/>
        <v>#REF!</v>
      </c>
    </row>
    <row r="29" spans="1:14" x14ac:dyDescent="0.2">
      <c r="A29" s="78" t="s">
        <v>52</v>
      </c>
      <c r="B29" s="78" t="s">
        <v>41</v>
      </c>
      <c r="C29" s="92">
        <v>652.21019999999999</v>
      </c>
      <c r="D29" s="92">
        <v>755.32529999999997</v>
      </c>
      <c r="E29" s="79" t="e">
        <f>D29*E38</f>
        <v>#REF!</v>
      </c>
      <c r="F29" s="79">
        <f>D29*E170</f>
        <v>10.876408902801028</v>
      </c>
      <c r="G29" s="79" t="e">
        <f t="shared" si="5"/>
        <v>#REF!</v>
      </c>
      <c r="H29" s="79" t="e">
        <f t="shared" si="3"/>
        <v>#REF!</v>
      </c>
      <c r="I29" s="98">
        <v>9</v>
      </c>
      <c r="J29" s="101" t="e">
        <f t="shared" si="4"/>
        <v>#REF!</v>
      </c>
    </row>
    <row r="30" spans="1:14" x14ac:dyDescent="0.2">
      <c r="A30" s="78" t="s">
        <v>53</v>
      </c>
      <c r="B30" s="83" t="s">
        <v>41</v>
      </c>
      <c r="C30" s="92">
        <v>664.50229999999999</v>
      </c>
      <c r="D30" s="92">
        <v>769.44269999999995</v>
      </c>
      <c r="E30" s="79" t="e">
        <f>D30*E38</f>
        <v>#REF!</v>
      </c>
      <c r="F30" s="79">
        <f>D30*E170</f>
        <v>11.079694315118614</v>
      </c>
      <c r="G30" s="79" t="e">
        <f t="shared" si="5"/>
        <v>#REF!</v>
      </c>
      <c r="H30" s="79" t="e">
        <f t="shared" si="3"/>
        <v>#REF!</v>
      </c>
      <c r="I30" s="98">
        <v>9</v>
      </c>
      <c r="J30" s="101" t="e">
        <f t="shared" si="4"/>
        <v>#REF!</v>
      </c>
    </row>
    <row r="31" spans="1:14" x14ac:dyDescent="0.2">
      <c r="A31" s="78" t="s">
        <v>54</v>
      </c>
      <c r="B31" s="83" t="s">
        <v>41</v>
      </c>
      <c r="C31" s="92">
        <v>661.23609999999996</v>
      </c>
      <c r="D31" s="92">
        <v>765.37929999999994</v>
      </c>
      <c r="E31" s="79" t="e">
        <f>D31*E38</f>
        <v>#REF!</v>
      </c>
      <c r="F31" s="79">
        <f>D31*E170</f>
        <v>11.021182836771944</v>
      </c>
      <c r="G31" s="79" t="e">
        <f t="shared" si="5"/>
        <v>#REF!</v>
      </c>
      <c r="H31" s="79" t="e">
        <f t="shared" si="3"/>
        <v>#REF!</v>
      </c>
      <c r="I31" s="98">
        <v>9</v>
      </c>
      <c r="J31" s="101" t="e">
        <f t="shared" si="4"/>
        <v>#REF!</v>
      </c>
    </row>
    <row r="32" spans="1:14" x14ac:dyDescent="0.2">
      <c r="A32" s="78" t="s">
        <v>55</v>
      </c>
      <c r="B32" s="83" t="s">
        <v>41</v>
      </c>
      <c r="C32" s="92">
        <v>669.7165</v>
      </c>
      <c r="D32" s="92">
        <v>775.00459999999998</v>
      </c>
      <c r="E32" s="79" t="e">
        <f>+D32*E38</f>
        <v>#REF!</v>
      </c>
      <c r="F32" s="79">
        <f>D32*E170</f>
        <v>11.159783647061406</v>
      </c>
      <c r="G32" s="79" t="e">
        <f t="shared" si="5"/>
        <v>#REF!</v>
      </c>
      <c r="H32" s="79" t="e">
        <f t="shared" si="3"/>
        <v>#REF!</v>
      </c>
      <c r="I32" s="98">
        <v>9</v>
      </c>
      <c r="J32" s="101" t="e">
        <f t="shared" si="4"/>
        <v>#REF!</v>
      </c>
    </row>
    <row r="33" spans="1:10" x14ac:dyDescent="0.2">
      <c r="A33" s="78" t="s">
        <v>56</v>
      </c>
      <c r="B33" s="78" t="s">
        <v>41</v>
      </c>
      <c r="C33" s="92">
        <v>667.94579999999996</v>
      </c>
      <c r="D33" s="92">
        <v>771.00109999999995</v>
      </c>
      <c r="E33" s="78" t="e">
        <f>+D33*E38</f>
        <v>#REF!</v>
      </c>
      <c r="F33" s="79">
        <f>D33*E170</f>
        <v>11.102134706873166</v>
      </c>
      <c r="G33" s="79" t="e">
        <f t="shared" si="5"/>
        <v>#REF!</v>
      </c>
      <c r="H33" s="79" t="e">
        <f t="shared" si="3"/>
        <v>#REF!</v>
      </c>
      <c r="I33" s="98">
        <v>9</v>
      </c>
      <c r="J33" s="101" t="e">
        <f t="shared" si="4"/>
        <v>#REF!</v>
      </c>
    </row>
    <row r="34" spans="1:10" x14ac:dyDescent="0.2">
      <c r="A34" s="83" t="s">
        <v>91</v>
      </c>
      <c r="B34" s="78" t="s">
        <v>59</v>
      </c>
      <c r="C34" s="92">
        <v>831.95190000000002</v>
      </c>
      <c r="D34" s="92">
        <v>940.15060000000005</v>
      </c>
      <c r="E34" s="78" t="e">
        <f>D34*E38</f>
        <v>#REF!</v>
      </c>
      <c r="F34" s="79">
        <f>D34*E170</f>
        <v>13.537825829233748</v>
      </c>
      <c r="G34" s="79" t="e">
        <f t="shared" si="5"/>
        <v>#REF!</v>
      </c>
      <c r="H34" s="79" t="e">
        <f t="shared" si="3"/>
        <v>#REF!</v>
      </c>
      <c r="I34" s="98">
        <v>9</v>
      </c>
      <c r="J34" s="101" t="e">
        <f t="shared" si="4"/>
        <v>#REF!</v>
      </c>
    </row>
    <row r="35" spans="1:10" x14ac:dyDescent="0.2">
      <c r="A35" s="83" t="s">
        <v>92</v>
      </c>
      <c r="B35" s="78" t="s">
        <v>41</v>
      </c>
      <c r="C35" s="92">
        <v>667.94579999999996</v>
      </c>
      <c r="D35" s="92">
        <v>771.00109999999995</v>
      </c>
      <c r="E35" s="78" t="e">
        <f>D35*E38</f>
        <v>#REF!</v>
      </c>
      <c r="F35" s="79">
        <f>D35*E170</f>
        <v>11.102134706873166</v>
      </c>
      <c r="G35" s="79" t="e">
        <f t="shared" si="5"/>
        <v>#REF!</v>
      </c>
      <c r="H35" s="79" t="e">
        <f t="shared" si="3"/>
        <v>#REF!</v>
      </c>
      <c r="I35" s="98">
        <v>9</v>
      </c>
      <c r="J35" s="101" t="e">
        <f t="shared" si="4"/>
        <v>#REF!</v>
      </c>
    </row>
    <row r="36" spans="1:10" x14ac:dyDescent="0.2">
      <c r="A36" s="83" t="s">
        <v>87</v>
      </c>
      <c r="B36" s="84"/>
      <c r="C36" s="84"/>
      <c r="D36" s="85">
        <f>SUM(D24:D35)*9</f>
        <v>85832.921699999992</v>
      </c>
      <c r="E36" s="88" t="e">
        <f>SUM(E24:E35)*9</f>
        <v>#REF!</v>
      </c>
      <c r="F36" s="85">
        <f>SUM(F24:F35)*9</f>
        <v>1235.9627748882549</v>
      </c>
      <c r="G36" s="85" t="e">
        <f>SUM(G24:G35)*9</f>
        <v>#REF!</v>
      </c>
      <c r="H36" s="85" t="e">
        <f>SUM(H24:H35)*9</f>
        <v>#REF!</v>
      </c>
      <c r="I36" s="84"/>
      <c r="J36" s="102" t="e">
        <f>AVERAGE(J24:J35)</f>
        <v>#REF!</v>
      </c>
    </row>
    <row r="38" spans="1:10" x14ac:dyDescent="0.2">
      <c r="B38" s="216" t="s">
        <v>82</v>
      </c>
      <c r="C38" s="216"/>
      <c r="D38" s="82" t="e">
        <f>+#REF!</f>
        <v>#REF!</v>
      </c>
      <c r="E38" s="217" t="e">
        <f>D38/D39</f>
        <v>#REF!</v>
      </c>
    </row>
    <row r="39" spans="1:10" x14ac:dyDescent="0.2">
      <c r="B39" s="218" t="s">
        <v>88</v>
      </c>
      <c r="C39" s="218"/>
      <c r="D39" s="81">
        <f>D36</f>
        <v>85832.921699999992</v>
      </c>
      <c r="E39" s="217"/>
    </row>
    <row r="40" spans="1:10" ht="15" x14ac:dyDescent="0.25">
      <c r="A40" s="76" t="s">
        <v>90</v>
      </c>
    </row>
    <row r="41" spans="1:10" ht="15" x14ac:dyDescent="0.25">
      <c r="A41" s="76" t="s">
        <v>106</v>
      </c>
    </row>
    <row r="42" spans="1:10" ht="15" customHeight="1" x14ac:dyDescent="0.25">
      <c r="A42" s="211" t="s">
        <v>78</v>
      </c>
      <c r="B42" s="211" t="s">
        <v>79</v>
      </c>
      <c r="C42" s="211" t="s">
        <v>80</v>
      </c>
      <c r="D42" s="211" t="s">
        <v>81</v>
      </c>
      <c r="E42" s="213" t="s">
        <v>82</v>
      </c>
      <c r="F42" s="214"/>
      <c r="G42" s="211" t="s">
        <v>83</v>
      </c>
      <c r="H42" s="215" t="s">
        <v>122</v>
      </c>
      <c r="I42" s="211" t="s">
        <v>84</v>
      </c>
      <c r="J42" s="211" t="s">
        <v>77</v>
      </c>
    </row>
    <row r="43" spans="1:10" ht="12.75" customHeight="1" x14ac:dyDescent="0.2">
      <c r="A43" s="212"/>
      <c r="B43" s="212"/>
      <c r="C43" s="212"/>
      <c r="D43" s="212"/>
      <c r="E43" s="77" t="s">
        <v>85</v>
      </c>
      <c r="F43" s="77" t="s">
        <v>86</v>
      </c>
      <c r="G43" s="212"/>
      <c r="H43" s="212"/>
      <c r="I43" s="212"/>
      <c r="J43" s="212"/>
    </row>
    <row r="44" spans="1:10" x14ac:dyDescent="0.2">
      <c r="A44" s="96">
        <v>101</v>
      </c>
      <c r="B44" s="78" t="s">
        <v>59</v>
      </c>
      <c r="C44" s="92">
        <v>831.95190000000002</v>
      </c>
      <c r="D44" s="92">
        <v>940.14750000000004</v>
      </c>
      <c r="E44" s="79" t="e">
        <f>D44*E138</f>
        <v>#REF!</v>
      </c>
      <c r="F44" s="79">
        <f>D44*E170</f>
        <v>13.537781190364113</v>
      </c>
      <c r="G44" s="79" t="e">
        <f>SUM(D44:F44)</f>
        <v>#REF!</v>
      </c>
      <c r="H44" s="79" t="e">
        <f t="shared" ref="H44:H52" si="6">ROUND(G44,0)</f>
        <v>#REF!</v>
      </c>
      <c r="I44" s="98">
        <v>1</v>
      </c>
      <c r="J44" s="101" t="e">
        <f t="shared" ref="J44:J52" si="7">C44/H44</f>
        <v>#REF!</v>
      </c>
    </row>
    <row r="45" spans="1:10" x14ac:dyDescent="0.2">
      <c r="A45" s="96">
        <v>102</v>
      </c>
      <c r="B45" s="78" t="s">
        <v>41</v>
      </c>
      <c r="C45" s="92">
        <v>652.21050000000002</v>
      </c>
      <c r="D45" s="92">
        <v>755.32529999999997</v>
      </c>
      <c r="E45" s="79" t="e">
        <f>+D45*E138</f>
        <v>#REF!</v>
      </c>
      <c r="F45" s="79">
        <f>D45*E170</f>
        <v>10.876408902801028</v>
      </c>
      <c r="G45" s="79" t="e">
        <f t="shared" ref="G45:G55" si="8">SUM(D45:F45)</f>
        <v>#REF!</v>
      </c>
      <c r="H45" s="79" t="e">
        <f t="shared" si="6"/>
        <v>#REF!</v>
      </c>
      <c r="I45" s="98">
        <v>1</v>
      </c>
      <c r="J45" s="101" t="e">
        <f t="shared" si="7"/>
        <v>#REF!</v>
      </c>
    </row>
    <row r="46" spans="1:10" x14ac:dyDescent="0.2">
      <c r="A46" s="96">
        <v>103</v>
      </c>
      <c r="B46" s="78" t="s">
        <v>41</v>
      </c>
      <c r="C46" s="92">
        <v>664.5027</v>
      </c>
      <c r="D46" s="92">
        <v>769.44439999999997</v>
      </c>
      <c r="E46" s="79" t="e">
        <f>+D46*E138</f>
        <v>#REF!</v>
      </c>
      <c r="F46" s="79">
        <f>D46*E170</f>
        <v>11.079718794498737</v>
      </c>
      <c r="G46" s="79" t="e">
        <f t="shared" si="8"/>
        <v>#REF!</v>
      </c>
      <c r="H46" s="79" t="e">
        <f t="shared" si="6"/>
        <v>#REF!</v>
      </c>
      <c r="I46" s="98">
        <v>1</v>
      </c>
      <c r="J46" s="101" t="e">
        <f t="shared" si="7"/>
        <v>#REF!</v>
      </c>
    </row>
    <row r="47" spans="1:10" x14ac:dyDescent="0.2">
      <c r="A47" s="96">
        <v>104</v>
      </c>
      <c r="B47" s="78" t="s">
        <v>41</v>
      </c>
      <c r="C47" s="92">
        <v>652.21050000000002</v>
      </c>
      <c r="D47" s="92">
        <v>755.29240000000004</v>
      </c>
      <c r="E47" s="79" t="e">
        <f>+D47*E138</f>
        <v>#REF!</v>
      </c>
      <c r="F47" s="79">
        <f>D47*E170</f>
        <v>10.875935154797485</v>
      </c>
      <c r="G47" s="79" t="e">
        <f t="shared" si="8"/>
        <v>#REF!</v>
      </c>
      <c r="H47" s="79" t="e">
        <f t="shared" si="6"/>
        <v>#REF!</v>
      </c>
      <c r="I47" s="98">
        <v>1</v>
      </c>
      <c r="J47" s="101" t="e">
        <f t="shared" si="7"/>
        <v>#REF!</v>
      </c>
    </row>
    <row r="48" spans="1:10" x14ac:dyDescent="0.2">
      <c r="A48" s="96">
        <v>105</v>
      </c>
      <c r="B48" s="78" t="s">
        <v>41</v>
      </c>
      <c r="C48" s="92">
        <v>664.5027</v>
      </c>
      <c r="D48" s="92">
        <v>769.44439999999997</v>
      </c>
      <c r="E48" s="79" t="e">
        <f>D48*E138</f>
        <v>#REF!</v>
      </c>
      <c r="F48" s="79">
        <f>D48*E170</f>
        <v>11.079718794498737</v>
      </c>
      <c r="G48" s="79" t="e">
        <f t="shared" si="8"/>
        <v>#REF!</v>
      </c>
      <c r="H48" s="79" t="e">
        <f t="shared" si="6"/>
        <v>#REF!</v>
      </c>
      <c r="I48" s="98">
        <v>1</v>
      </c>
      <c r="J48" s="101" t="e">
        <f t="shared" si="7"/>
        <v>#REF!</v>
      </c>
    </row>
    <row r="49" spans="1:10" x14ac:dyDescent="0.2">
      <c r="A49" s="96">
        <v>106</v>
      </c>
      <c r="B49" s="78" t="s">
        <v>41</v>
      </c>
      <c r="C49" s="92">
        <v>652.21050000000002</v>
      </c>
      <c r="D49" s="92">
        <v>759.01869999999997</v>
      </c>
      <c r="E49" s="79" t="e">
        <f>D49*E138</f>
        <v>#REF!</v>
      </c>
      <c r="F49" s="79">
        <f>D49*E170</f>
        <v>10.929592516062236</v>
      </c>
      <c r="G49" s="79" t="e">
        <f t="shared" si="8"/>
        <v>#REF!</v>
      </c>
      <c r="H49" s="79" t="e">
        <f t="shared" si="6"/>
        <v>#REF!</v>
      </c>
      <c r="I49" s="98">
        <v>1</v>
      </c>
      <c r="J49" s="101" t="e">
        <f t="shared" si="7"/>
        <v>#REF!</v>
      </c>
    </row>
    <row r="50" spans="1:10" x14ac:dyDescent="0.2">
      <c r="A50" s="96">
        <v>107</v>
      </c>
      <c r="B50" s="78" t="s">
        <v>38</v>
      </c>
      <c r="C50" s="92">
        <v>967.96479999999997</v>
      </c>
      <c r="D50" s="92">
        <v>1098.0213000000001</v>
      </c>
      <c r="E50" s="79" t="e">
        <f>D50*E138</f>
        <v>#REF!</v>
      </c>
      <c r="F50" s="79">
        <f>D50*E170</f>
        <v>15.811106344226999</v>
      </c>
      <c r="G50" s="79" t="e">
        <f t="shared" si="8"/>
        <v>#REF!</v>
      </c>
      <c r="H50" s="79" t="e">
        <f t="shared" si="6"/>
        <v>#REF!</v>
      </c>
      <c r="I50" s="98">
        <v>1</v>
      </c>
      <c r="J50" s="101" t="e">
        <f t="shared" si="7"/>
        <v>#REF!</v>
      </c>
    </row>
    <row r="51" spans="1:10" x14ac:dyDescent="0.2">
      <c r="A51" s="96">
        <v>108</v>
      </c>
      <c r="B51" s="78" t="s">
        <v>38</v>
      </c>
      <c r="C51" s="92">
        <v>955.62059999999997</v>
      </c>
      <c r="D51" s="92">
        <v>1084.5054</v>
      </c>
      <c r="E51" s="79" t="e">
        <f>D51*E138</f>
        <v>#REF!</v>
      </c>
      <c r="F51" s="79">
        <f>D51*E170</f>
        <v>15.61648231258213</v>
      </c>
      <c r="G51" s="79" t="e">
        <f t="shared" si="8"/>
        <v>#REF!</v>
      </c>
      <c r="H51" s="79" t="e">
        <f t="shared" si="6"/>
        <v>#REF!</v>
      </c>
      <c r="I51" s="98">
        <v>1</v>
      </c>
      <c r="J51" s="101" t="e">
        <f t="shared" si="7"/>
        <v>#REF!</v>
      </c>
    </row>
    <row r="52" spans="1:10" x14ac:dyDescent="0.2">
      <c r="A52" s="96">
        <v>109</v>
      </c>
      <c r="B52" s="78" t="s">
        <v>59</v>
      </c>
      <c r="C52" s="92">
        <v>832.01049999999998</v>
      </c>
      <c r="D52" s="92">
        <v>941.40449999999998</v>
      </c>
      <c r="E52" s="79" t="e">
        <f>+D52*E138</f>
        <v>#REF!</v>
      </c>
      <c r="F52" s="79">
        <f>D52*E170</f>
        <v>13.555881532019319</v>
      </c>
      <c r="G52" s="79" t="e">
        <f t="shared" si="8"/>
        <v>#REF!</v>
      </c>
      <c r="H52" s="79" t="e">
        <f t="shared" si="6"/>
        <v>#REF!</v>
      </c>
      <c r="I52" s="98">
        <v>1</v>
      </c>
      <c r="J52" s="101" t="e">
        <f t="shared" si="7"/>
        <v>#REF!</v>
      </c>
    </row>
    <row r="53" spans="1:10" x14ac:dyDescent="0.2">
      <c r="A53" s="96">
        <v>110</v>
      </c>
      <c r="B53" s="83" t="s">
        <v>103</v>
      </c>
      <c r="C53" s="92"/>
      <c r="D53" s="92"/>
      <c r="E53" s="78"/>
      <c r="F53" s="79"/>
      <c r="G53" s="79"/>
      <c r="H53" s="79"/>
      <c r="I53" s="79"/>
      <c r="J53" s="79"/>
    </row>
    <row r="54" spans="1:10" x14ac:dyDescent="0.2">
      <c r="A54" s="97">
        <v>111</v>
      </c>
      <c r="B54" s="83" t="s">
        <v>103</v>
      </c>
      <c r="C54" s="92"/>
      <c r="D54" s="92"/>
      <c r="E54" s="78"/>
      <c r="F54" s="79"/>
      <c r="G54" s="79"/>
      <c r="H54" s="79"/>
      <c r="I54" s="79"/>
      <c r="J54" s="79"/>
    </row>
    <row r="55" spans="1:10" x14ac:dyDescent="0.2">
      <c r="A55" s="97">
        <v>112</v>
      </c>
      <c r="B55" s="78" t="s">
        <v>41</v>
      </c>
      <c r="C55" s="92">
        <v>667.94579999999996</v>
      </c>
      <c r="D55" s="92">
        <v>771.00390000000004</v>
      </c>
      <c r="E55" s="78" t="e">
        <f>D55*E138</f>
        <v>#REF!</v>
      </c>
      <c r="F55" s="79">
        <f>D55*E170</f>
        <v>11.102175025852192</v>
      </c>
      <c r="G55" s="79" t="e">
        <f t="shared" si="8"/>
        <v>#REF!</v>
      </c>
      <c r="H55" s="79" t="e">
        <f t="shared" ref="H55" si="9">ROUND(G55,0)</f>
        <v>#REF!</v>
      </c>
      <c r="I55" s="98">
        <v>1</v>
      </c>
      <c r="J55" s="101" t="e">
        <f t="shared" ref="J55" si="10">C55/H55</f>
        <v>#REF!</v>
      </c>
    </row>
    <row r="56" spans="1:10" x14ac:dyDescent="0.2">
      <c r="A56" s="83" t="s">
        <v>87</v>
      </c>
      <c r="B56" s="84"/>
      <c r="C56" s="84"/>
      <c r="D56" s="85">
        <f>SUM(D44:D55)</f>
        <v>8643.6077999999998</v>
      </c>
      <c r="E56" s="88" t="e">
        <f>SUM(E44:E55)</f>
        <v>#REF!</v>
      </c>
      <c r="F56" s="85">
        <f>SUM(F44:F55)</f>
        <v>124.46480056770298</v>
      </c>
      <c r="G56" s="85" t="e">
        <f>SUM(G44:G55)</f>
        <v>#REF!</v>
      </c>
      <c r="H56" s="85" t="e">
        <f>SUM(H44:H55)</f>
        <v>#REF!</v>
      </c>
      <c r="I56" s="84"/>
      <c r="J56" s="102" t="e">
        <f>AVERAGE(J44:J55)</f>
        <v>#REF!</v>
      </c>
    </row>
    <row r="57" spans="1:10" x14ac:dyDescent="0.2">
      <c r="A57" s="80"/>
      <c r="D57" s="86"/>
      <c r="E57" s="95"/>
      <c r="F57" s="86"/>
      <c r="G57" s="86"/>
      <c r="H57" s="86"/>
      <c r="J57" s="86"/>
    </row>
    <row r="58" spans="1:10" ht="15" x14ac:dyDescent="0.25">
      <c r="A58" s="76" t="s">
        <v>105</v>
      </c>
    </row>
    <row r="59" spans="1:10" ht="38.25" customHeight="1" x14ac:dyDescent="0.25">
      <c r="A59" s="211" t="s">
        <v>78</v>
      </c>
      <c r="B59" s="211" t="s">
        <v>79</v>
      </c>
      <c r="C59" s="211" t="s">
        <v>80</v>
      </c>
      <c r="D59" s="211" t="s">
        <v>81</v>
      </c>
      <c r="E59" s="213" t="s">
        <v>82</v>
      </c>
      <c r="F59" s="214"/>
      <c r="G59" s="211" t="s">
        <v>83</v>
      </c>
      <c r="H59" s="215" t="s">
        <v>122</v>
      </c>
      <c r="I59" s="211" t="s">
        <v>84</v>
      </c>
      <c r="J59" s="211" t="s">
        <v>77</v>
      </c>
    </row>
    <row r="60" spans="1:10" ht="38.25" x14ac:dyDescent="0.2">
      <c r="A60" s="212"/>
      <c r="B60" s="212"/>
      <c r="C60" s="212"/>
      <c r="D60" s="212"/>
      <c r="E60" s="77" t="s">
        <v>85</v>
      </c>
      <c r="F60" s="77" t="s">
        <v>86</v>
      </c>
      <c r="G60" s="212"/>
      <c r="H60" s="212"/>
      <c r="I60" s="212"/>
      <c r="J60" s="212"/>
    </row>
    <row r="61" spans="1:10" x14ac:dyDescent="0.2">
      <c r="A61" s="83" t="s">
        <v>108</v>
      </c>
      <c r="B61" s="78" t="s">
        <v>59</v>
      </c>
      <c r="C61" s="92">
        <v>831.95190000000002</v>
      </c>
      <c r="D61" s="92">
        <v>940.14750000000004</v>
      </c>
      <c r="E61" s="79" t="e">
        <f>+D61*E138</f>
        <v>#REF!</v>
      </c>
      <c r="F61" s="79">
        <f>+D61*E170</f>
        <v>13.537781190364113</v>
      </c>
      <c r="G61" s="79" t="e">
        <f>SUM(D61:F61)</f>
        <v>#REF!</v>
      </c>
      <c r="H61" s="79" t="e">
        <f t="shared" ref="H61:H72" si="11">ROUND(G61,0)</f>
        <v>#REF!</v>
      </c>
      <c r="I61" s="98">
        <v>7</v>
      </c>
      <c r="J61" s="101" t="e">
        <f t="shared" ref="J61:J72" si="12">C61/H61</f>
        <v>#REF!</v>
      </c>
    </row>
    <row r="62" spans="1:10" x14ac:dyDescent="0.2">
      <c r="A62" s="83" t="s">
        <v>109</v>
      </c>
      <c r="B62" s="78" t="s">
        <v>41</v>
      </c>
      <c r="C62" s="92">
        <v>652.21050000000002</v>
      </c>
      <c r="D62" s="92">
        <v>755.32529999999997</v>
      </c>
      <c r="E62" s="79" t="e">
        <f>+D62*E138</f>
        <v>#REF!</v>
      </c>
      <c r="F62" s="79">
        <f>+D62*E170</f>
        <v>10.876408902801028</v>
      </c>
      <c r="G62" s="79" t="e">
        <f t="shared" ref="G62:G72" si="13">SUM(D62:F62)</f>
        <v>#REF!</v>
      </c>
      <c r="H62" s="79" t="e">
        <f t="shared" si="11"/>
        <v>#REF!</v>
      </c>
      <c r="I62" s="98">
        <v>7</v>
      </c>
      <c r="J62" s="101" t="e">
        <f t="shared" si="12"/>
        <v>#REF!</v>
      </c>
    </row>
    <row r="63" spans="1:10" x14ac:dyDescent="0.2">
      <c r="A63" s="83" t="s">
        <v>110</v>
      </c>
      <c r="B63" s="78" t="s">
        <v>41</v>
      </c>
      <c r="C63" s="92">
        <v>664.5027</v>
      </c>
      <c r="D63" s="92">
        <v>769.44439999999997</v>
      </c>
      <c r="E63" s="79" t="e">
        <f>+D63*E138</f>
        <v>#REF!</v>
      </c>
      <c r="F63" s="79">
        <f>+D63*E170</f>
        <v>11.079718794498737</v>
      </c>
      <c r="G63" s="79" t="e">
        <f t="shared" si="13"/>
        <v>#REF!</v>
      </c>
      <c r="H63" s="79" t="e">
        <f t="shared" si="11"/>
        <v>#REF!</v>
      </c>
      <c r="I63" s="98">
        <v>7</v>
      </c>
      <c r="J63" s="101" t="e">
        <f t="shared" si="12"/>
        <v>#REF!</v>
      </c>
    </row>
    <row r="64" spans="1:10" x14ac:dyDescent="0.2">
      <c r="A64" s="83" t="s">
        <v>111</v>
      </c>
      <c r="B64" s="78" t="s">
        <v>41</v>
      </c>
      <c r="C64" s="92">
        <v>652.21050000000002</v>
      </c>
      <c r="D64" s="92">
        <v>755.29240000000004</v>
      </c>
      <c r="E64" s="79" t="e">
        <f>+D64*E138</f>
        <v>#REF!</v>
      </c>
      <c r="F64" s="79">
        <f>+D64*E170</f>
        <v>10.875935154797485</v>
      </c>
      <c r="G64" s="79" t="e">
        <f t="shared" si="13"/>
        <v>#REF!</v>
      </c>
      <c r="H64" s="79" t="e">
        <f t="shared" si="11"/>
        <v>#REF!</v>
      </c>
      <c r="I64" s="98">
        <v>7</v>
      </c>
      <c r="J64" s="101" t="e">
        <f t="shared" si="12"/>
        <v>#REF!</v>
      </c>
    </row>
    <row r="65" spans="1:10" x14ac:dyDescent="0.2">
      <c r="A65" s="83" t="s">
        <v>112</v>
      </c>
      <c r="B65" s="78" t="s">
        <v>41</v>
      </c>
      <c r="C65" s="92">
        <v>664.5027</v>
      </c>
      <c r="D65" s="92">
        <v>769.44100000000003</v>
      </c>
      <c r="E65" s="79" t="e">
        <f>+D65*E138</f>
        <v>#REF!</v>
      </c>
      <c r="F65" s="79">
        <f>+D65*E170</f>
        <v>11.079669835738493</v>
      </c>
      <c r="G65" s="79" t="e">
        <f t="shared" si="13"/>
        <v>#REF!</v>
      </c>
      <c r="H65" s="79" t="e">
        <f t="shared" si="11"/>
        <v>#REF!</v>
      </c>
      <c r="I65" s="98">
        <v>7</v>
      </c>
      <c r="J65" s="101" t="e">
        <f t="shared" si="12"/>
        <v>#REF!</v>
      </c>
    </row>
    <row r="66" spans="1:10" x14ac:dyDescent="0.2">
      <c r="A66" s="83" t="s">
        <v>113</v>
      </c>
      <c r="B66" s="78" t="s">
        <v>41</v>
      </c>
      <c r="C66" s="92">
        <v>652.21050000000002</v>
      </c>
      <c r="D66" s="92">
        <v>759.01869999999997</v>
      </c>
      <c r="E66" s="79" t="e">
        <f>+D66*E138</f>
        <v>#REF!</v>
      </c>
      <c r="F66" s="79">
        <f>+D66*E170</f>
        <v>10.929592516062236</v>
      </c>
      <c r="G66" s="79" t="e">
        <f t="shared" si="13"/>
        <v>#REF!</v>
      </c>
      <c r="H66" s="79" t="e">
        <f t="shared" si="11"/>
        <v>#REF!</v>
      </c>
      <c r="I66" s="98">
        <v>7</v>
      </c>
      <c r="J66" s="101" t="e">
        <f t="shared" si="12"/>
        <v>#REF!</v>
      </c>
    </row>
    <row r="67" spans="1:10" x14ac:dyDescent="0.2">
      <c r="A67" s="83" t="s">
        <v>114</v>
      </c>
      <c r="B67" s="78" t="s">
        <v>38</v>
      </c>
      <c r="C67" s="92">
        <v>967.96479999999997</v>
      </c>
      <c r="D67" s="92">
        <v>1098.0213000000001</v>
      </c>
      <c r="E67" s="79" t="e">
        <f>+D67*E138</f>
        <v>#REF!</v>
      </c>
      <c r="F67" s="79">
        <f>+D67*E170</f>
        <v>15.811106344226999</v>
      </c>
      <c r="G67" s="79" t="e">
        <f t="shared" si="13"/>
        <v>#REF!</v>
      </c>
      <c r="H67" s="79" t="e">
        <f t="shared" si="11"/>
        <v>#REF!</v>
      </c>
      <c r="I67" s="98">
        <v>7</v>
      </c>
      <c r="J67" s="101" t="e">
        <f t="shared" si="12"/>
        <v>#REF!</v>
      </c>
    </row>
    <row r="68" spans="1:10" x14ac:dyDescent="0.2">
      <c r="A68" s="83" t="s">
        <v>115</v>
      </c>
      <c r="B68" s="78" t="s">
        <v>38</v>
      </c>
      <c r="C68" s="92">
        <v>955.62059999999997</v>
      </c>
      <c r="D68" s="92">
        <v>1084.5054</v>
      </c>
      <c r="E68" s="79" t="e">
        <f>+D68*E138</f>
        <v>#REF!</v>
      </c>
      <c r="F68" s="79">
        <f>+D68*E170</f>
        <v>15.61648231258213</v>
      </c>
      <c r="G68" s="79" t="e">
        <f t="shared" si="13"/>
        <v>#REF!</v>
      </c>
      <c r="H68" s="79" t="e">
        <f t="shared" si="11"/>
        <v>#REF!</v>
      </c>
      <c r="I68" s="98">
        <v>7</v>
      </c>
      <c r="J68" s="101" t="e">
        <f t="shared" si="12"/>
        <v>#REF!</v>
      </c>
    </row>
    <row r="69" spans="1:10" x14ac:dyDescent="0.2">
      <c r="A69" s="83" t="s">
        <v>116</v>
      </c>
      <c r="B69" s="78" t="s">
        <v>59</v>
      </c>
      <c r="C69" s="92">
        <v>832.01049999999998</v>
      </c>
      <c r="D69" s="92">
        <v>941.40449999999998</v>
      </c>
      <c r="E69" s="79" t="e">
        <f>+D69*E138</f>
        <v>#REF!</v>
      </c>
      <c r="F69" s="79">
        <f>+D69*E170</f>
        <v>13.555881532019319</v>
      </c>
      <c r="G69" s="79" t="e">
        <f t="shared" si="13"/>
        <v>#REF!</v>
      </c>
      <c r="H69" s="79" t="e">
        <f t="shared" si="11"/>
        <v>#REF!</v>
      </c>
      <c r="I69" s="98">
        <v>7</v>
      </c>
      <c r="J69" s="101" t="e">
        <f t="shared" si="12"/>
        <v>#REF!</v>
      </c>
    </row>
    <row r="70" spans="1:10" x14ac:dyDescent="0.2">
      <c r="A70" s="83" t="s">
        <v>117</v>
      </c>
      <c r="B70" s="78" t="s">
        <v>41</v>
      </c>
      <c r="C70" s="92">
        <v>652.18780000000004</v>
      </c>
      <c r="D70" s="92">
        <v>759.25900000000001</v>
      </c>
      <c r="E70" s="78" t="e">
        <f>+D70*E138</f>
        <v>#REF!</v>
      </c>
      <c r="F70" s="79">
        <f>+D70*E170</f>
        <v>10.933052748440714</v>
      </c>
      <c r="G70" s="79" t="e">
        <f t="shared" si="13"/>
        <v>#REF!</v>
      </c>
      <c r="H70" s="79" t="e">
        <f t="shared" si="11"/>
        <v>#REF!</v>
      </c>
      <c r="I70" s="98">
        <v>7</v>
      </c>
      <c r="J70" s="101" t="e">
        <f t="shared" si="12"/>
        <v>#REF!</v>
      </c>
    </row>
    <row r="71" spans="1:10" x14ac:dyDescent="0.2">
      <c r="A71" s="83" t="s">
        <v>118</v>
      </c>
      <c r="B71" s="78" t="s">
        <v>41</v>
      </c>
      <c r="C71" s="92">
        <v>667.95899999999995</v>
      </c>
      <c r="D71" s="92">
        <v>770.61149999999998</v>
      </c>
      <c r="E71" s="78" t="e">
        <f>+D71*E138</f>
        <v>#REF!</v>
      </c>
      <c r="F71" s="79">
        <f>+D71*E170</f>
        <v>11.096524608934528</v>
      </c>
      <c r="G71" s="79" t="e">
        <f t="shared" si="13"/>
        <v>#REF!</v>
      </c>
      <c r="H71" s="79" t="e">
        <f t="shared" si="11"/>
        <v>#REF!</v>
      </c>
      <c r="I71" s="98">
        <v>7</v>
      </c>
      <c r="J71" s="101" t="e">
        <f t="shared" si="12"/>
        <v>#REF!</v>
      </c>
    </row>
    <row r="72" spans="1:10" x14ac:dyDescent="0.2">
      <c r="A72" s="83" t="s">
        <v>119</v>
      </c>
      <c r="B72" s="78" t="s">
        <v>41</v>
      </c>
      <c r="C72" s="92">
        <v>667.94579999999996</v>
      </c>
      <c r="D72" s="92">
        <v>771.00390000000004</v>
      </c>
      <c r="E72" s="78" t="e">
        <f>+D72*E138</f>
        <v>#REF!</v>
      </c>
      <c r="F72" s="79">
        <f>+D72*E170</f>
        <v>11.102175025852192</v>
      </c>
      <c r="G72" s="79" t="e">
        <f t="shared" si="13"/>
        <v>#REF!</v>
      </c>
      <c r="H72" s="79" t="e">
        <f t="shared" si="11"/>
        <v>#REF!</v>
      </c>
      <c r="I72" s="98">
        <v>7</v>
      </c>
      <c r="J72" s="101" t="e">
        <f t="shared" si="12"/>
        <v>#REF!</v>
      </c>
    </row>
    <row r="73" spans="1:10" x14ac:dyDescent="0.2">
      <c r="A73" s="83" t="s">
        <v>87</v>
      </c>
      <c r="B73" s="84"/>
      <c r="C73" s="84"/>
      <c r="D73" s="85">
        <f>SUM(D61:D72)*7</f>
        <v>71214.324299999978</v>
      </c>
      <c r="E73" s="88" t="e">
        <f>SUM(E61:E72)*7</f>
        <v>#REF!</v>
      </c>
      <c r="F73" s="85">
        <f>SUM(F61:F72)*7</f>
        <v>1025.4603027642261</v>
      </c>
      <c r="G73" s="85" t="e">
        <f>SUM(G61:G72)*7</f>
        <v>#REF!</v>
      </c>
      <c r="H73" s="85" t="e">
        <f>SUM(H61:H72)*7</f>
        <v>#REF!</v>
      </c>
      <c r="I73" s="84"/>
      <c r="J73" s="102" t="e">
        <f>AVERAGE(J61:J72)</f>
        <v>#REF!</v>
      </c>
    </row>
    <row r="74" spans="1:10" x14ac:dyDescent="0.2">
      <c r="A74" s="80"/>
      <c r="D74" s="86"/>
      <c r="E74" s="95"/>
      <c r="F74" s="86"/>
      <c r="G74" s="86"/>
      <c r="H74" s="86"/>
      <c r="J74" s="86"/>
    </row>
    <row r="75" spans="1:10" ht="15" x14ac:dyDescent="0.25">
      <c r="A75" s="76" t="s">
        <v>104</v>
      </c>
    </row>
    <row r="76" spans="1:10" ht="15" x14ac:dyDescent="0.25">
      <c r="A76" s="211" t="s">
        <v>78</v>
      </c>
      <c r="B76" s="211" t="s">
        <v>79</v>
      </c>
      <c r="C76" s="211" t="s">
        <v>80</v>
      </c>
      <c r="D76" s="211" t="s">
        <v>81</v>
      </c>
      <c r="E76" s="213" t="s">
        <v>82</v>
      </c>
      <c r="F76" s="214"/>
      <c r="G76" s="211" t="s">
        <v>83</v>
      </c>
      <c r="H76" s="215" t="s">
        <v>122</v>
      </c>
      <c r="I76" s="211" t="s">
        <v>84</v>
      </c>
      <c r="J76" s="211" t="s">
        <v>77</v>
      </c>
    </row>
    <row r="77" spans="1:10" ht="38.25" x14ac:dyDescent="0.2">
      <c r="A77" s="212"/>
      <c r="B77" s="212"/>
      <c r="C77" s="212"/>
      <c r="D77" s="212"/>
      <c r="E77" s="77" t="s">
        <v>85</v>
      </c>
      <c r="F77" s="77" t="s">
        <v>86</v>
      </c>
      <c r="G77" s="212"/>
      <c r="H77" s="212"/>
      <c r="I77" s="212"/>
      <c r="J77" s="212"/>
    </row>
    <row r="78" spans="1:10" x14ac:dyDescent="0.2">
      <c r="A78" s="96">
        <v>901</v>
      </c>
      <c r="B78" s="78" t="s">
        <v>59</v>
      </c>
      <c r="C78" s="78">
        <v>831.95190000000002</v>
      </c>
      <c r="D78" s="92">
        <v>940.14750000000004</v>
      </c>
      <c r="E78" s="79" t="e">
        <f>+D78*E138</f>
        <v>#REF!</v>
      </c>
      <c r="F78" s="79">
        <f>+D78*E170</f>
        <v>13.537781190364113</v>
      </c>
      <c r="G78" s="79" t="e">
        <f>SUM(D78:F78)</f>
        <v>#REF!</v>
      </c>
      <c r="H78" s="79" t="e">
        <f t="shared" ref="H78:H86" si="14">ROUND(G78,0)</f>
        <v>#REF!</v>
      </c>
      <c r="I78" s="98">
        <v>1</v>
      </c>
      <c r="J78" s="101" t="e">
        <f t="shared" ref="J78:J86" si="15">C78/H78</f>
        <v>#REF!</v>
      </c>
    </row>
    <row r="79" spans="1:10" x14ac:dyDescent="0.2">
      <c r="A79" s="96">
        <v>902</v>
      </c>
      <c r="B79" s="78" t="s">
        <v>41</v>
      </c>
      <c r="C79" s="78">
        <v>652.21050000000002</v>
      </c>
      <c r="D79" s="92">
        <v>755.32529999999997</v>
      </c>
      <c r="E79" s="79" t="e">
        <f>+D79*E138</f>
        <v>#REF!</v>
      </c>
      <c r="F79" s="79">
        <f>+D79*E170</f>
        <v>10.876408902801028</v>
      </c>
      <c r="G79" s="79" t="e">
        <f t="shared" ref="G79:G89" si="16">SUM(D79:F79)</f>
        <v>#REF!</v>
      </c>
      <c r="H79" s="79" t="e">
        <f t="shared" si="14"/>
        <v>#REF!</v>
      </c>
      <c r="I79" s="98">
        <v>1</v>
      </c>
      <c r="J79" s="101" t="e">
        <f t="shared" si="15"/>
        <v>#REF!</v>
      </c>
    </row>
    <row r="80" spans="1:10" x14ac:dyDescent="0.2">
      <c r="A80" s="96">
        <v>903</v>
      </c>
      <c r="B80" s="78" t="s">
        <v>41</v>
      </c>
      <c r="C80" s="78">
        <v>664.5027</v>
      </c>
      <c r="D80" s="92">
        <v>769.44439999999997</v>
      </c>
      <c r="E80" s="79" t="e">
        <f>+D80*E138</f>
        <v>#REF!</v>
      </c>
      <c r="F80" s="79">
        <f>+D80*E170</f>
        <v>11.079718794498737</v>
      </c>
      <c r="G80" s="79" t="e">
        <f t="shared" si="16"/>
        <v>#REF!</v>
      </c>
      <c r="H80" s="79" t="e">
        <f t="shared" si="14"/>
        <v>#REF!</v>
      </c>
      <c r="I80" s="98">
        <v>1</v>
      </c>
      <c r="J80" s="101" t="e">
        <f t="shared" si="15"/>
        <v>#REF!</v>
      </c>
    </row>
    <row r="81" spans="1:10" x14ac:dyDescent="0.2">
      <c r="A81" s="96">
        <v>904</v>
      </c>
      <c r="B81" s="78" t="s">
        <v>41</v>
      </c>
      <c r="C81" s="78">
        <v>652.21050000000002</v>
      </c>
      <c r="D81" s="92">
        <v>755.29240000000004</v>
      </c>
      <c r="E81" s="79" t="e">
        <f>+D81*E138</f>
        <v>#REF!</v>
      </c>
      <c r="F81" s="79">
        <f>+D81*E170</f>
        <v>10.875935154797485</v>
      </c>
      <c r="G81" s="79" t="e">
        <f t="shared" si="16"/>
        <v>#REF!</v>
      </c>
      <c r="H81" s="79" t="e">
        <f t="shared" si="14"/>
        <v>#REF!</v>
      </c>
      <c r="I81" s="98">
        <v>1</v>
      </c>
      <c r="J81" s="101" t="e">
        <f t="shared" si="15"/>
        <v>#REF!</v>
      </c>
    </row>
    <row r="82" spans="1:10" x14ac:dyDescent="0.2">
      <c r="A82" s="96">
        <v>905</v>
      </c>
      <c r="B82" s="78" t="s">
        <v>41</v>
      </c>
      <c r="C82" s="78">
        <v>664.5027</v>
      </c>
      <c r="D82" s="92">
        <v>769.44100000000003</v>
      </c>
      <c r="E82" s="79" t="e">
        <f>+D82*E138</f>
        <v>#REF!</v>
      </c>
      <c r="F82" s="79">
        <f>+D82*E170</f>
        <v>11.079669835738493</v>
      </c>
      <c r="G82" s="79" t="e">
        <f t="shared" si="16"/>
        <v>#REF!</v>
      </c>
      <c r="H82" s="79" t="e">
        <f t="shared" si="14"/>
        <v>#REF!</v>
      </c>
      <c r="I82" s="98">
        <v>1</v>
      </c>
      <c r="J82" s="101" t="e">
        <f t="shared" si="15"/>
        <v>#REF!</v>
      </c>
    </row>
    <row r="83" spans="1:10" x14ac:dyDescent="0.2">
      <c r="A83" s="96">
        <v>906</v>
      </c>
      <c r="B83" s="78" t="s">
        <v>41</v>
      </c>
      <c r="C83" s="78">
        <v>652.21050000000002</v>
      </c>
      <c r="D83" s="92">
        <v>759.01869999999997</v>
      </c>
      <c r="E83" s="79" t="e">
        <f>+D83*E138</f>
        <v>#REF!</v>
      </c>
      <c r="F83" s="79">
        <f>+D83*E170</f>
        <v>10.929592516062236</v>
      </c>
      <c r="G83" s="79" t="e">
        <f t="shared" si="16"/>
        <v>#REF!</v>
      </c>
      <c r="H83" s="79" t="e">
        <f t="shared" si="14"/>
        <v>#REF!</v>
      </c>
      <c r="I83" s="98">
        <v>1</v>
      </c>
      <c r="J83" s="101" t="e">
        <f t="shared" si="15"/>
        <v>#REF!</v>
      </c>
    </row>
    <row r="84" spans="1:10" x14ac:dyDescent="0.2">
      <c r="A84" s="96">
        <v>907</v>
      </c>
      <c r="B84" s="78" t="s">
        <v>38</v>
      </c>
      <c r="C84" s="78">
        <v>967.96479999999997</v>
      </c>
      <c r="D84" s="92">
        <v>1098.0213000000001</v>
      </c>
      <c r="E84" s="79" t="e">
        <f>+D84*E138</f>
        <v>#REF!</v>
      </c>
      <c r="F84" s="79">
        <f>+D84*E170</f>
        <v>15.811106344226999</v>
      </c>
      <c r="G84" s="79" t="e">
        <f t="shared" si="16"/>
        <v>#REF!</v>
      </c>
      <c r="H84" s="79" t="e">
        <f t="shared" si="14"/>
        <v>#REF!</v>
      </c>
      <c r="I84" s="98">
        <v>1</v>
      </c>
      <c r="J84" s="101" t="e">
        <f t="shared" si="15"/>
        <v>#REF!</v>
      </c>
    </row>
    <row r="85" spans="1:10" x14ac:dyDescent="0.2">
      <c r="A85" s="96">
        <v>908</v>
      </c>
      <c r="B85" s="78" t="s">
        <v>38</v>
      </c>
      <c r="C85" s="78">
        <v>955.62059999999997</v>
      </c>
      <c r="D85" s="92">
        <v>1084.5054</v>
      </c>
      <c r="E85" s="79" t="e">
        <f>+D85*E138</f>
        <v>#REF!</v>
      </c>
      <c r="F85" s="79">
        <f>+D85*E170</f>
        <v>15.61648231258213</v>
      </c>
      <c r="G85" s="79" t="e">
        <f t="shared" si="16"/>
        <v>#REF!</v>
      </c>
      <c r="H85" s="79" t="e">
        <f t="shared" si="14"/>
        <v>#REF!</v>
      </c>
      <c r="I85" s="98">
        <v>1</v>
      </c>
      <c r="J85" s="101" t="e">
        <f t="shared" si="15"/>
        <v>#REF!</v>
      </c>
    </row>
    <row r="86" spans="1:10" x14ac:dyDescent="0.2">
      <c r="A86" s="96">
        <v>909</v>
      </c>
      <c r="B86" s="78" t="s">
        <v>59</v>
      </c>
      <c r="C86" s="78">
        <v>832.01049999999998</v>
      </c>
      <c r="D86" s="92">
        <v>941.40449999999998</v>
      </c>
      <c r="E86" s="79" t="e">
        <f>+D86*E138</f>
        <v>#REF!</v>
      </c>
      <c r="F86" s="79">
        <f>+D86*E170</f>
        <v>13.555881532019319</v>
      </c>
      <c r="G86" s="79" t="e">
        <f t="shared" si="16"/>
        <v>#REF!</v>
      </c>
      <c r="H86" s="79" t="e">
        <f t="shared" si="14"/>
        <v>#REF!</v>
      </c>
      <c r="I86" s="98">
        <v>1</v>
      </c>
      <c r="J86" s="101" t="e">
        <f t="shared" si="15"/>
        <v>#REF!</v>
      </c>
    </row>
    <row r="87" spans="1:10" x14ac:dyDescent="0.2">
      <c r="A87" s="96">
        <v>910</v>
      </c>
      <c r="B87" s="83" t="s">
        <v>103</v>
      </c>
      <c r="C87" s="78"/>
      <c r="D87" s="92"/>
      <c r="E87" s="78"/>
      <c r="F87" s="79"/>
      <c r="G87" s="79"/>
      <c r="H87" s="79"/>
      <c r="I87" s="98"/>
      <c r="J87" s="79"/>
    </row>
    <row r="88" spans="1:10" x14ac:dyDescent="0.2">
      <c r="A88" s="97">
        <v>911</v>
      </c>
      <c r="B88" s="83" t="s">
        <v>103</v>
      </c>
      <c r="C88" s="78"/>
      <c r="D88" s="92"/>
      <c r="E88" s="78"/>
      <c r="F88" s="79"/>
      <c r="G88" s="79"/>
      <c r="H88" s="79"/>
      <c r="I88" s="98"/>
      <c r="J88" s="79"/>
    </row>
    <row r="89" spans="1:10" x14ac:dyDescent="0.2">
      <c r="A89" s="97">
        <v>912</v>
      </c>
      <c r="B89" s="78" t="s">
        <v>41</v>
      </c>
      <c r="C89" s="78">
        <v>667.94579999999996</v>
      </c>
      <c r="D89" s="92">
        <v>771.00390000000004</v>
      </c>
      <c r="E89" s="78" t="e">
        <f>+D89*E138</f>
        <v>#REF!</v>
      </c>
      <c r="F89" s="79">
        <f>+D89*E170</f>
        <v>11.102175025852192</v>
      </c>
      <c r="G89" s="79" t="e">
        <f t="shared" si="16"/>
        <v>#REF!</v>
      </c>
      <c r="H89" s="79" t="e">
        <f t="shared" ref="H89" si="17">ROUND(G89,0)</f>
        <v>#REF!</v>
      </c>
      <c r="I89" s="98">
        <v>1</v>
      </c>
      <c r="J89" s="101" t="e">
        <f t="shared" ref="J89" si="18">C89/H89</f>
        <v>#REF!</v>
      </c>
    </row>
    <row r="90" spans="1:10" x14ac:dyDescent="0.2">
      <c r="A90" s="83" t="s">
        <v>87</v>
      </c>
      <c r="B90" s="84"/>
      <c r="C90" s="84"/>
      <c r="D90" s="85">
        <f>SUM(D78:D89)</f>
        <v>8643.6044000000002</v>
      </c>
      <c r="E90" s="88" t="e">
        <f>SUM(E78:E89)</f>
        <v>#REF!</v>
      </c>
      <c r="F90" s="85">
        <f>SUM(F78:F89)</f>
        <v>124.46475160894273</v>
      </c>
      <c r="G90" s="85" t="e">
        <f>SUM(G78:G89)</f>
        <v>#REF!</v>
      </c>
      <c r="H90" s="85" t="e">
        <f>SUM(H78:H89)</f>
        <v>#REF!</v>
      </c>
      <c r="I90" s="84"/>
      <c r="J90" s="102" t="e">
        <f>AVERAGE(J78:J89)</f>
        <v>#REF!</v>
      </c>
    </row>
    <row r="91" spans="1:10" x14ac:dyDescent="0.2">
      <c r="A91" s="80"/>
      <c r="D91" s="86"/>
      <c r="E91" s="95"/>
      <c r="F91" s="86"/>
      <c r="G91" s="86"/>
      <c r="H91" s="86"/>
      <c r="J91" s="86"/>
    </row>
    <row r="92" spans="1:10" ht="15" x14ac:dyDescent="0.25">
      <c r="A92" s="76" t="s">
        <v>107</v>
      </c>
    </row>
    <row r="93" spans="1:10" ht="15" x14ac:dyDescent="0.25">
      <c r="A93" s="211" t="s">
        <v>78</v>
      </c>
      <c r="B93" s="211" t="s">
        <v>79</v>
      </c>
      <c r="C93" s="211" t="s">
        <v>80</v>
      </c>
      <c r="D93" s="211" t="s">
        <v>81</v>
      </c>
      <c r="E93" s="213" t="s">
        <v>82</v>
      </c>
      <c r="F93" s="214"/>
      <c r="G93" s="211" t="s">
        <v>83</v>
      </c>
      <c r="H93" s="215" t="s">
        <v>122</v>
      </c>
      <c r="I93" s="211" t="s">
        <v>84</v>
      </c>
      <c r="J93" s="211" t="s">
        <v>77</v>
      </c>
    </row>
    <row r="94" spans="1:10" ht="38.25" x14ac:dyDescent="0.2">
      <c r="A94" s="212"/>
      <c r="B94" s="212"/>
      <c r="C94" s="212"/>
      <c r="D94" s="212"/>
      <c r="E94" s="77" t="s">
        <v>85</v>
      </c>
      <c r="F94" s="77" t="s">
        <v>86</v>
      </c>
      <c r="G94" s="212"/>
      <c r="H94" s="212"/>
      <c r="I94" s="212"/>
      <c r="J94" s="212"/>
    </row>
    <row r="95" spans="1:10" x14ac:dyDescent="0.2">
      <c r="A95" s="96">
        <v>101</v>
      </c>
      <c r="B95" s="78" t="s">
        <v>59</v>
      </c>
      <c r="C95" s="92">
        <v>831.95190000000002</v>
      </c>
      <c r="D95" s="92">
        <v>940.14750000000004</v>
      </c>
      <c r="E95" s="79" t="e">
        <f>+D95*E138</f>
        <v>#REF!</v>
      </c>
      <c r="F95" s="79">
        <f>+D95*E170</f>
        <v>13.537781190364113</v>
      </c>
      <c r="G95" s="79" t="e">
        <f>SUM(D95:F95)</f>
        <v>#REF!</v>
      </c>
      <c r="H95" s="79" t="e">
        <f t="shared" ref="H95:H98" si="19">ROUND(G95,0)</f>
        <v>#REF!</v>
      </c>
      <c r="I95" s="98">
        <v>1</v>
      </c>
      <c r="J95" s="101" t="e">
        <f>C95/H95</f>
        <v>#REF!</v>
      </c>
    </row>
    <row r="96" spans="1:10" x14ac:dyDescent="0.2">
      <c r="A96" s="96">
        <v>102</v>
      </c>
      <c r="B96" s="78" t="s">
        <v>41</v>
      </c>
      <c r="C96" s="92">
        <v>652.21050000000002</v>
      </c>
      <c r="D96" s="92">
        <v>755.21759999999995</v>
      </c>
      <c r="E96" s="79" t="e">
        <f>+D96*E138</f>
        <v>#REF!</v>
      </c>
      <c r="F96" s="79">
        <f>+D96*E170</f>
        <v>10.874858062072098</v>
      </c>
      <c r="G96" s="79" t="e">
        <f t="shared" ref="G96:G103" si="20">SUM(D96:F96)</f>
        <v>#REF!</v>
      </c>
      <c r="H96" s="79" t="e">
        <f t="shared" si="19"/>
        <v>#REF!</v>
      </c>
      <c r="I96" s="98">
        <v>1</v>
      </c>
      <c r="J96" s="101" t="e">
        <f t="shared" ref="J96:J98" si="21">C96/H96</f>
        <v>#REF!</v>
      </c>
    </row>
    <row r="97" spans="1:10" x14ac:dyDescent="0.2">
      <c r="A97" s="96">
        <v>103</v>
      </c>
      <c r="B97" s="78" t="s">
        <v>59</v>
      </c>
      <c r="C97" s="92">
        <v>782.95450000000005</v>
      </c>
      <c r="D97" s="92">
        <v>897.21569999999997</v>
      </c>
      <c r="E97" s="79" t="e">
        <f>+D97*E138</f>
        <v>#REF!</v>
      </c>
      <c r="F97" s="79">
        <f>+D97*E170</f>
        <v>12.919578924753159</v>
      </c>
      <c r="G97" s="79" t="e">
        <f t="shared" si="20"/>
        <v>#REF!</v>
      </c>
      <c r="H97" s="79" t="e">
        <f t="shared" si="19"/>
        <v>#REF!</v>
      </c>
      <c r="I97" s="98">
        <v>1</v>
      </c>
      <c r="J97" s="101" t="e">
        <f t="shared" si="21"/>
        <v>#REF!</v>
      </c>
    </row>
    <row r="98" spans="1:10" x14ac:dyDescent="0.2">
      <c r="A98" s="96">
        <v>104</v>
      </c>
      <c r="B98" s="78" t="s">
        <v>59</v>
      </c>
      <c r="C98" s="92">
        <v>838</v>
      </c>
      <c r="D98" s="92">
        <v>959.11260000000004</v>
      </c>
      <c r="E98" s="79" t="e">
        <f>+D98*E138</f>
        <v>#REF!</v>
      </c>
      <c r="F98" s="79">
        <f>+D98*E170</f>
        <v>13.810871715046011</v>
      </c>
      <c r="G98" s="79" t="e">
        <f t="shared" si="20"/>
        <v>#REF!</v>
      </c>
      <c r="H98" s="79" t="e">
        <f t="shared" si="19"/>
        <v>#REF!</v>
      </c>
      <c r="I98" s="98">
        <v>1</v>
      </c>
      <c r="J98" s="101" t="e">
        <f t="shared" si="21"/>
        <v>#REF!</v>
      </c>
    </row>
    <row r="99" spans="1:10" x14ac:dyDescent="0.2">
      <c r="A99" s="96">
        <v>105</v>
      </c>
      <c r="B99" s="83" t="s">
        <v>103</v>
      </c>
      <c r="C99" s="92"/>
      <c r="D99" s="92"/>
      <c r="E99" s="79"/>
      <c r="F99" s="79"/>
      <c r="G99" s="79"/>
      <c r="H99" s="79"/>
      <c r="I99" s="98"/>
      <c r="J99" s="79"/>
    </row>
    <row r="100" spans="1:10" x14ac:dyDescent="0.2">
      <c r="A100" s="96">
        <v>106</v>
      </c>
      <c r="B100" s="83" t="s">
        <v>103</v>
      </c>
      <c r="C100" s="92"/>
      <c r="D100" s="92"/>
      <c r="E100" s="79"/>
      <c r="F100" s="79"/>
      <c r="G100" s="79"/>
      <c r="H100" s="79"/>
      <c r="I100" s="98"/>
      <c r="J100" s="79"/>
    </row>
    <row r="101" spans="1:10" x14ac:dyDescent="0.2">
      <c r="A101" s="96">
        <v>107</v>
      </c>
      <c r="B101" s="78" t="s">
        <v>38</v>
      </c>
      <c r="C101" s="92">
        <v>956.89710000000002</v>
      </c>
      <c r="D101" s="92">
        <v>1088.8768</v>
      </c>
      <c r="E101" s="79" t="e">
        <f>+D101*E138</f>
        <v>#REF!</v>
      </c>
      <c r="F101" s="79">
        <f>+D101*E170</f>
        <v>15.679428878621563</v>
      </c>
      <c r="G101" s="79" t="e">
        <f t="shared" si="20"/>
        <v>#REF!</v>
      </c>
      <c r="H101" s="79" t="e">
        <f t="shared" ref="H101:H104" si="22">ROUND(G101,0)</f>
        <v>#REF!</v>
      </c>
      <c r="I101" s="98">
        <v>1</v>
      </c>
      <c r="J101" s="101" t="e">
        <f>C101/H101</f>
        <v>#REF!</v>
      </c>
    </row>
    <row r="102" spans="1:10" x14ac:dyDescent="0.2">
      <c r="A102" s="96">
        <v>108</v>
      </c>
      <c r="B102" s="83" t="s">
        <v>41</v>
      </c>
      <c r="C102" s="92">
        <v>667.94579999999996</v>
      </c>
      <c r="D102" s="92">
        <v>771.00390000000004</v>
      </c>
      <c r="E102" s="79" t="e">
        <f>+D102*E138</f>
        <v>#REF!</v>
      </c>
      <c r="F102" s="79">
        <f>+D102*E170</f>
        <v>11.102175025852192</v>
      </c>
      <c r="G102" s="79" t="e">
        <f t="shared" si="20"/>
        <v>#REF!</v>
      </c>
      <c r="H102" s="79" t="e">
        <f t="shared" si="22"/>
        <v>#REF!</v>
      </c>
      <c r="I102" s="98">
        <v>1</v>
      </c>
      <c r="J102" s="101" t="e">
        <f t="shared" ref="J102:J104" si="23">C102/H102</f>
        <v>#REF!</v>
      </c>
    </row>
    <row r="103" spans="1:10" x14ac:dyDescent="0.2">
      <c r="A103" s="96">
        <v>109</v>
      </c>
      <c r="B103" s="78" t="s">
        <v>59</v>
      </c>
      <c r="C103" s="92">
        <v>831.95190000000002</v>
      </c>
      <c r="D103" s="92">
        <v>940.14750000000004</v>
      </c>
      <c r="E103" s="79" t="e">
        <f>+D103*E138</f>
        <v>#REF!</v>
      </c>
      <c r="F103" s="79">
        <f>+D103*E170</f>
        <v>13.537781190364113</v>
      </c>
      <c r="G103" s="79" t="e">
        <f t="shared" si="20"/>
        <v>#REF!</v>
      </c>
      <c r="H103" s="79" t="e">
        <f t="shared" si="22"/>
        <v>#REF!</v>
      </c>
      <c r="I103" s="98">
        <v>1</v>
      </c>
      <c r="J103" s="101" t="e">
        <f t="shared" si="23"/>
        <v>#REF!</v>
      </c>
    </row>
    <row r="104" spans="1:10" x14ac:dyDescent="0.2">
      <c r="A104" s="96">
        <v>110</v>
      </c>
      <c r="B104" s="83" t="s">
        <v>41</v>
      </c>
      <c r="C104" s="92">
        <v>667.94579999999996</v>
      </c>
      <c r="D104" s="92">
        <v>771.00390000000004</v>
      </c>
      <c r="E104" s="79" t="e">
        <f>+D104*E138</f>
        <v>#REF!</v>
      </c>
      <c r="F104" s="79">
        <f>+D104*E170</f>
        <v>11.102175025852192</v>
      </c>
      <c r="G104" s="79" t="e">
        <f t="shared" ref="G104" si="24">SUM(D104:F104)</f>
        <v>#REF!</v>
      </c>
      <c r="H104" s="79" t="e">
        <f t="shared" si="22"/>
        <v>#REF!</v>
      </c>
      <c r="I104" s="98">
        <v>1</v>
      </c>
      <c r="J104" s="101" t="e">
        <f t="shared" si="23"/>
        <v>#REF!</v>
      </c>
    </row>
    <row r="105" spans="1:10" x14ac:dyDescent="0.2">
      <c r="A105" s="83" t="s">
        <v>87</v>
      </c>
      <c r="B105" s="84"/>
      <c r="C105" s="84"/>
      <c r="D105" s="85">
        <f>SUM(D95:D104)</f>
        <v>7122.7254999999996</v>
      </c>
      <c r="E105" s="88" t="e">
        <f>SUM(E95:E104)</f>
        <v>#REF!</v>
      </c>
      <c r="F105" s="85">
        <f>SUM(F95:F104)</f>
        <v>102.56465001292544</v>
      </c>
      <c r="G105" s="85" t="e">
        <f>SUM(G95:G104)</f>
        <v>#REF!</v>
      </c>
      <c r="H105" s="85" t="e">
        <f>SUM(H95:H104)</f>
        <v>#REF!</v>
      </c>
      <c r="I105" s="84"/>
      <c r="J105" s="102" t="e">
        <f>AVERAGE(J95:J104)</f>
        <v>#REF!</v>
      </c>
    </row>
    <row r="106" spans="1:10" x14ac:dyDescent="0.2">
      <c r="A106" s="80"/>
      <c r="D106" s="86"/>
      <c r="E106" s="95"/>
      <c r="F106" s="86"/>
      <c r="G106" s="86"/>
      <c r="H106" s="86"/>
      <c r="J106" s="86"/>
    </row>
    <row r="107" spans="1:10" ht="15" x14ac:dyDescent="0.25">
      <c r="A107" s="76" t="s">
        <v>120</v>
      </c>
    </row>
    <row r="108" spans="1:10" ht="15" x14ac:dyDescent="0.25">
      <c r="A108" s="211" t="s">
        <v>78</v>
      </c>
      <c r="B108" s="211" t="s">
        <v>79</v>
      </c>
      <c r="C108" s="211" t="s">
        <v>80</v>
      </c>
      <c r="D108" s="211" t="s">
        <v>81</v>
      </c>
      <c r="E108" s="213" t="s">
        <v>82</v>
      </c>
      <c r="F108" s="214"/>
      <c r="G108" s="211" t="s">
        <v>83</v>
      </c>
      <c r="H108" s="215" t="s">
        <v>122</v>
      </c>
      <c r="I108" s="211" t="s">
        <v>84</v>
      </c>
      <c r="J108" s="211" t="s">
        <v>77</v>
      </c>
    </row>
    <row r="109" spans="1:10" ht="38.25" x14ac:dyDescent="0.2">
      <c r="A109" s="212"/>
      <c r="B109" s="212"/>
      <c r="C109" s="212"/>
      <c r="D109" s="212"/>
      <c r="E109" s="77" t="s">
        <v>85</v>
      </c>
      <c r="F109" s="77" t="s">
        <v>86</v>
      </c>
      <c r="G109" s="212"/>
      <c r="H109" s="212"/>
      <c r="I109" s="212"/>
      <c r="J109" s="212"/>
    </row>
    <row r="110" spans="1:10" x14ac:dyDescent="0.2">
      <c r="A110" s="83" t="s">
        <v>108</v>
      </c>
      <c r="B110" s="78" t="s">
        <v>59</v>
      </c>
      <c r="C110" s="92">
        <v>831.95190000000002</v>
      </c>
      <c r="D110" s="92">
        <v>940.14750000000004</v>
      </c>
      <c r="E110" s="79" t="e">
        <f>+D110*E138</f>
        <v>#REF!</v>
      </c>
      <c r="F110" s="79">
        <f>D110*E170</f>
        <v>13.537781190364113</v>
      </c>
      <c r="G110" s="79" t="e">
        <f>SUM(D110:F110)</f>
        <v>#REF!</v>
      </c>
      <c r="H110" s="79" t="e">
        <f t="shared" ref="H110:H119" si="25">ROUND(G110,0)</f>
        <v>#REF!</v>
      </c>
      <c r="I110" s="98">
        <v>7</v>
      </c>
      <c r="J110" s="101" t="e">
        <f>C110/H110</f>
        <v>#REF!</v>
      </c>
    </row>
    <row r="111" spans="1:10" x14ac:dyDescent="0.2">
      <c r="A111" s="83" t="s">
        <v>109</v>
      </c>
      <c r="B111" s="78" t="s">
        <v>41</v>
      </c>
      <c r="C111" s="92">
        <v>652.21050000000002</v>
      </c>
      <c r="D111" s="92">
        <v>755.21759999999995</v>
      </c>
      <c r="E111" s="79" t="e">
        <f>+D111*E138</f>
        <v>#REF!</v>
      </c>
      <c r="F111" s="79">
        <f>D111*E170</f>
        <v>10.874858062072098</v>
      </c>
      <c r="G111" s="79" t="e">
        <f t="shared" ref="G111:G119" si="26">SUM(D111:F111)</f>
        <v>#REF!</v>
      </c>
      <c r="H111" s="79" t="e">
        <f t="shared" si="25"/>
        <v>#REF!</v>
      </c>
      <c r="I111" s="98">
        <v>7</v>
      </c>
      <c r="J111" s="101" t="e">
        <f t="shared" ref="J111:J119" si="27">C111/H111</f>
        <v>#REF!</v>
      </c>
    </row>
    <row r="112" spans="1:10" x14ac:dyDescent="0.2">
      <c r="A112" s="83" t="s">
        <v>110</v>
      </c>
      <c r="B112" s="78" t="s">
        <v>41</v>
      </c>
      <c r="C112" s="92">
        <v>782.95450000000005</v>
      </c>
      <c r="D112" s="92">
        <v>897.21569999999997</v>
      </c>
      <c r="E112" s="79" t="e">
        <f>+D112*E138</f>
        <v>#REF!</v>
      </c>
      <c r="F112" s="79">
        <f>+D112*E170</f>
        <v>12.919578924753159</v>
      </c>
      <c r="G112" s="79" t="e">
        <f t="shared" si="26"/>
        <v>#REF!</v>
      </c>
      <c r="H112" s="79" t="e">
        <f t="shared" si="25"/>
        <v>#REF!</v>
      </c>
      <c r="I112" s="98">
        <v>7</v>
      </c>
      <c r="J112" s="101" t="e">
        <f t="shared" si="27"/>
        <v>#REF!</v>
      </c>
    </row>
    <row r="113" spans="1:10" x14ac:dyDescent="0.2">
      <c r="A113" s="83" t="s">
        <v>111</v>
      </c>
      <c r="B113" s="78" t="s">
        <v>41</v>
      </c>
      <c r="C113" s="92">
        <v>838</v>
      </c>
      <c r="D113" s="92">
        <v>959.11260000000004</v>
      </c>
      <c r="E113" s="79" t="e">
        <f>+D113*E138</f>
        <v>#REF!</v>
      </c>
      <c r="F113" s="79">
        <f>+D113*E170</f>
        <v>13.810871715046011</v>
      </c>
      <c r="G113" s="79" t="e">
        <f t="shared" si="26"/>
        <v>#REF!</v>
      </c>
      <c r="H113" s="79" t="e">
        <f t="shared" si="25"/>
        <v>#REF!</v>
      </c>
      <c r="I113" s="98">
        <v>7</v>
      </c>
      <c r="J113" s="101" t="e">
        <f t="shared" si="27"/>
        <v>#REF!</v>
      </c>
    </row>
    <row r="114" spans="1:10" x14ac:dyDescent="0.2">
      <c r="A114" s="83" t="s">
        <v>112</v>
      </c>
      <c r="B114" s="78" t="s">
        <v>41</v>
      </c>
      <c r="C114" s="92">
        <v>831.98559999999998</v>
      </c>
      <c r="D114" s="92">
        <v>940.14930000000004</v>
      </c>
      <c r="E114" s="79" t="e">
        <f>+D114*E138</f>
        <v>#REF!</v>
      </c>
      <c r="F114" s="79">
        <f>+D114*E170</f>
        <v>13.537807109707773</v>
      </c>
      <c r="G114" s="79" t="e">
        <f t="shared" si="26"/>
        <v>#REF!</v>
      </c>
      <c r="H114" s="79" t="e">
        <f t="shared" si="25"/>
        <v>#REF!</v>
      </c>
      <c r="I114" s="98">
        <v>7</v>
      </c>
      <c r="J114" s="101" t="e">
        <f t="shared" si="27"/>
        <v>#REF!</v>
      </c>
    </row>
    <row r="115" spans="1:10" x14ac:dyDescent="0.2">
      <c r="A115" s="83" t="s">
        <v>113</v>
      </c>
      <c r="B115" s="78" t="s">
        <v>41</v>
      </c>
      <c r="C115" s="92">
        <v>974.67</v>
      </c>
      <c r="D115" s="92">
        <v>1102.4067</v>
      </c>
      <c r="E115" s="79" t="e">
        <f>+D115*E138</f>
        <v>#REF!</v>
      </c>
      <c r="F115" s="79">
        <f>+D115*E170</f>
        <v>15.874254505161556</v>
      </c>
      <c r="G115" s="79" t="e">
        <f t="shared" si="26"/>
        <v>#REF!</v>
      </c>
      <c r="H115" s="79" t="e">
        <f t="shared" si="25"/>
        <v>#REF!</v>
      </c>
      <c r="I115" s="98">
        <v>7</v>
      </c>
      <c r="J115" s="101" t="e">
        <f t="shared" si="27"/>
        <v>#REF!</v>
      </c>
    </row>
    <row r="116" spans="1:10" x14ac:dyDescent="0.2">
      <c r="A116" s="83" t="s">
        <v>114</v>
      </c>
      <c r="B116" s="78" t="s">
        <v>38</v>
      </c>
      <c r="C116" s="92">
        <v>956.89710000000002</v>
      </c>
      <c r="D116" s="92">
        <v>1088.8768</v>
      </c>
      <c r="E116" s="79" t="e">
        <f>+D116*E138</f>
        <v>#REF!</v>
      </c>
      <c r="F116" s="79">
        <f>+D116*E170</f>
        <v>15.679428878621563</v>
      </c>
      <c r="G116" s="79" t="e">
        <f t="shared" si="26"/>
        <v>#REF!</v>
      </c>
      <c r="H116" s="79" t="e">
        <f t="shared" si="25"/>
        <v>#REF!</v>
      </c>
      <c r="I116" s="98">
        <v>7</v>
      </c>
      <c r="J116" s="101" t="e">
        <f t="shared" si="27"/>
        <v>#REF!</v>
      </c>
    </row>
    <row r="117" spans="1:10" x14ac:dyDescent="0.2">
      <c r="A117" s="83" t="s">
        <v>115</v>
      </c>
      <c r="B117" s="78" t="s">
        <v>38</v>
      </c>
      <c r="C117" s="92">
        <v>667.94579999999996</v>
      </c>
      <c r="D117" s="92">
        <v>771.00390000000004</v>
      </c>
      <c r="E117" s="79" t="e">
        <f>+D117*E138</f>
        <v>#REF!</v>
      </c>
      <c r="F117" s="79">
        <f>+D117*E170</f>
        <v>11.102175025852192</v>
      </c>
      <c r="G117" s="79" t="e">
        <f t="shared" si="26"/>
        <v>#REF!</v>
      </c>
      <c r="H117" s="79" t="e">
        <f t="shared" si="25"/>
        <v>#REF!</v>
      </c>
      <c r="I117" s="98">
        <v>7</v>
      </c>
      <c r="J117" s="101" t="e">
        <f t="shared" si="27"/>
        <v>#REF!</v>
      </c>
    </row>
    <row r="118" spans="1:10" x14ac:dyDescent="0.2">
      <c r="A118" s="83" t="s">
        <v>116</v>
      </c>
      <c r="B118" s="78" t="s">
        <v>59</v>
      </c>
      <c r="C118" s="92">
        <v>831.95190000000002</v>
      </c>
      <c r="D118" s="92">
        <v>940.14750000000004</v>
      </c>
      <c r="E118" s="79" t="e">
        <f>+D118*E138</f>
        <v>#REF!</v>
      </c>
      <c r="F118" s="79">
        <f>+D118*E170</f>
        <v>13.537781190364113</v>
      </c>
      <c r="G118" s="79" t="e">
        <f t="shared" si="26"/>
        <v>#REF!</v>
      </c>
      <c r="H118" s="79" t="e">
        <f t="shared" si="25"/>
        <v>#REF!</v>
      </c>
      <c r="I118" s="98">
        <v>7</v>
      </c>
      <c r="J118" s="101" t="e">
        <f t="shared" si="27"/>
        <v>#REF!</v>
      </c>
    </row>
    <row r="119" spans="1:10" x14ac:dyDescent="0.2">
      <c r="A119" s="83" t="s">
        <v>117</v>
      </c>
      <c r="B119" s="78" t="s">
        <v>41</v>
      </c>
      <c r="C119" s="92">
        <v>667.94579999999996</v>
      </c>
      <c r="D119" s="92">
        <v>771.00390000000004</v>
      </c>
      <c r="E119" s="78" t="e">
        <f>+D119*E138</f>
        <v>#REF!</v>
      </c>
      <c r="F119" s="79">
        <f>+D119*E170</f>
        <v>11.102175025852192</v>
      </c>
      <c r="G119" s="79" t="e">
        <f t="shared" si="26"/>
        <v>#REF!</v>
      </c>
      <c r="H119" s="79" t="e">
        <f t="shared" si="25"/>
        <v>#REF!</v>
      </c>
      <c r="I119" s="98">
        <v>7</v>
      </c>
      <c r="J119" s="101" t="e">
        <f t="shared" si="27"/>
        <v>#REF!</v>
      </c>
    </row>
    <row r="120" spans="1:10" x14ac:dyDescent="0.2">
      <c r="A120" s="83" t="s">
        <v>87</v>
      </c>
      <c r="B120" s="84"/>
      <c r="C120" s="84"/>
      <c r="D120" s="85">
        <f>SUM(D110:D119)*7</f>
        <v>64156.970499999981</v>
      </c>
      <c r="E120" s="88" t="e">
        <f>SUM(E110:E119)*7</f>
        <v>#REF!</v>
      </c>
      <c r="F120" s="85">
        <f>SUM(F110:F119)*7</f>
        <v>923.8369813945634</v>
      </c>
      <c r="G120" s="85" t="e">
        <f>SUM(G110:G119)*7</f>
        <v>#REF!</v>
      </c>
      <c r="H120" s="85" t="e">
        <f>SUM(H110:H119)*7</f>
        <v>#REF!</v>
      </c>
      <c r="I120" s="84"/>
      <c r="J120" s="102" t="e">
        <f>AVERAGE(J110:J119)</f>
        <v>#REF!</v>
      </c>
    </row>
    <row r="121" spans="1:10" x14ac:dyDescent="0.2">
      <c r="A121" s="80"/>
      <c r="D121" s="86"/>
      <c r="E121" s="95"/>
      <c r="F121" s="86"/>
      <c r="G121" s="86"/>
      <c r="H121" s="86"/>
      <c r="J121" s="86"/>
    </row>
    <row r="122" spans="1:10" ht="15" x14ac:dyDescent="0.25">
      <c r="A122" s="76" t="s">
        <v>121</v>
      </c>
    </row>
    <row r="123" spans="1:10" ht="15" x14ac:dyDescent="0.25">
      <c r="A123" s="211" t="s">
        <v>78</v>
      </c>
      <c r="B123" s="211" t="s">
        <v>79</v>
      </c>
      <c r="C123" s="211" t="s">
        <v>80</v>
      </c>
      <c r="D123" s="211" t="s">
        <v>81</v>
      </c>
      <c r="E123" s="213" t="s">
        <v>82</v>
      </c>
      <c r="F123" s="214"/>
      <c r="G123" s="211" t="s">
        <v>83</v>
      </c>
      <c r="H123" s="215" t="s">
        <v>122</v>
      </c>
      <c r="I123" s="211" t="s">
        <v>84</v>
      </c>
      <c r="J123" s="211" t="s">
        <v>77</v>
      </c>
    </row>
    <row r="124" spans="1:10" ht="38.25" x14ac:dyDescent="0.2">
      <c r="A124" s="212"/>
      <c r="B124" s="212"/>
      <c r="C124" s="212"/>
      <c r="D124" s="212"/>
      <c r="E124" s="77" t="s">
        <v>85</v>
      </c>
      <c r="F124" s="77" t="s">
        <v>86</v>
      </c>
      <c r="G124" s="212"/>
      <c r="H124" s="212"/>
      <c r="I124" s="212"/>
      <c r="J124" s="212"/>
    </row>
    <row r="125" spans="1:10" x14ac:dyDescent="0.2">
      <c r="A125" s="96">
        <v>901</v>
      </c>
      <c r="B125" s="78" t="s">
        <v>59</v>
      </c>
      <c r="C125" s="92">
        <v>831.95190000000002</v>
      </c>
      <c r="D125" s="92">
        <v>940.14750000000004</v>
      </c>
      <c r="E125" s="79" t="e">
        <f>+D125*E138</f>
        <v>#REF!</v>
      </c>
      <c r="F125" s="79">
        <f>D125*E170</f>
        <v>13.537781190364113</v>
      </c>
      <c r="G125" s="79" t="e">
        <f>SUM(D125:F125)</f>
        <v>#REF!</v>
      </c>
      <c r="H125" s="79" t="e">
        <f t="shared" ref="H125:H128" si="28">ROUND(G125,0)</f>
        <v>#REF!</v>
      </c>
      <c r="I125" s="98">
        <v>1</v>
      </c>
      <c r="J125" s="101" t="e">
        <f>C125/H125</f>
        <v>#REF!</v>
      </c>
    </row>
    <row r="126" spans="1:10" x14ac:dyDescent="0.2">
      <c r="A126" s="96">
        <v>902</v>
      </c>
      <c r="B126" s="78" t="s">
        <v>41</v>
      </c>
      <c r="C126" s="92">
        <v>652.21050000000002</v>
      </c>
      <c r="D126" s="92">
        <v>755.21759999999995</v>
      </c>
      <c r="E126" s="79" t="e">
        <f>+D126*E138</f>
        <v>#REF!</v>
      </c>
      <c r="F126" s="79">
        <f>D126*E170</f>
        <v>10.874858062072098</v>
      </c>
      <c r="G126" s="79" t="e">
        <f t="shared" ref="G126:G128" si="29">SUM(D126:F126)</f>
        <v>#REF!</v>
      </c>
      <c r="H126" s="79" t="e">
        <f t="shared" si="28"/>
        <v>#REF!</v>
      </c>
      <c r="I126" s="98">
        <v>1</v>
      </c>
      <c r="J126" s="101" t="e">
        <f t="shared" ref="J126:J128" si="30">C126/H126</f>
        <v>#REF!</v>
      </c>
    </row>
    <row r="127" spans="1:10" x14ac:dyDescent="0.2">
      <c r="A127" s="96">
        <v>903</v>
      </c>
      <c r="B127" s="78" t="s">
        <v>59</v>
      </c>
      <c r="C127" s="92">
        <v>782.95450000000005</v>
      </c>
      <c r="D127" s="92">
        <v>897.21569999999997</v>
      </c>
      <c r="E127" s="79" t="e">
        <f>+D127*E138</f>
        <v>#REF!</v>
      </c>
      <c r="F127" s="79">
        <f>D127*E170</f>
        <v>12.919578924753159</v>
      </c>
      <c r="G127" s="79" t="e">
        <f t="shared" si="29"/>
        <v>#REF!</v>
      </c>
      <c r="H127" s="79" t="e">
        <f t="shared" si="28"/>
        <v>#REF!</v>
      </c>
      <c r="I127" s="98">
        <v>1</v>
      </c>
      <c r="J127" s="101" t="e">
        <f t="shared" si="30"/>
        <v>#REF!</v>
      </c>
    </row>
    <row r="128" spans="1:10" x14ac:dyDescent="0.2">
      <c r="A128" s="96">
        <v>904</v>
      </c>
      <c r="B128" s="78" t="s">
        <v>59</v>
      </c>
      <c r="C128" s="92">
        <v>838</v>
      </c>
      <c r="D128" s="92">
        <v>959.11260000000004</v>
      </c>
      <c r="E128" s="79" t="e">
        <f>+D128*E138</f>
        <v>#REF!</v>
      </c>
      <c r="F128" s="79">
        <f>D128*E170</f>
        <v>13.810871715046011</v>
      </c>
      <c r="G128" s="79" t="e">
        <f t="shared" si="29"/>
        <v>#REF!</v>
      </c>
      <c r="H128" s="79" t="e">
        <f t="shared" si="28"/>
        <v>#REF!</v>
      </c>
      <c r="I128" s="98">
        <v>1</v>
      </c>
      <c r="J128" s="101" t="e">
        <f t="shared" si="30"/>
        <v>#REF!</v>
      </c>
    </row>
    <row r="129" spans="1:14" x14ac:dyDescent="0.2">
      <c r="A129" s="96">
        <v>905</v>
      </c>
      <c r="B129" s="83" t="s">
        <v>103</v>
      </c>
      <c r="C129" s="92"/>
      <c r="D129" s="92"/>
      <c r="E129" s="79"/>
      <c r="F129" s="79"/>
      <c r="G129" s="79"/>
      <c r="H129" s="79"/>
      <c r="I129" s="98"/>
      <c r="J129" s="79"/>
    </row>
    <row r="130" spans="1:14" x14ac:dyDescent="0.2">
      <c r="A130" s="96">
        <v>906</v>
      </c>
      <c r="B130" s="83" t="s">
        <v>103</v>
      </c>
      <c r="C130" s="92"/>
      <c r="D130" s="92"/>
      <c r="E130" s="79"/>
      <c r="F130" s="79"/>
      <c r="G130" s="79"/>
      <c r="H130" s="79"/>
      <c r="I130" s="98"/>
      <c r="J130" s="79"/>
    </row>
    <row r="131" spans="1:14" x14ac:dyDescent="0.2">
      <c r="A131" s="96">
        <v>907</v>
      </c>
      <c r="B131" s="78" t="s">
        <v>38</v>
      </c>
      <c r="C131" s="92">
        <v>956.89710000000002</v>
      </c>
      <c r="D131" s="92">
        <v>1088.8768</v>
      </c>
      <c r="E131" s="79" t="e">
        <f>+D131*E138</f>
        <v>#REF!</v>
      </c>
      <c r="F131" s="79">
        <f>+D131*E170</f>
        <v>15.679428878621563</v>
      </c>
      <c r="G131" s="79" t="e">
        <f t="shared" ref="G131:G134" si="31">SUM(D131:F131)</f>
        <v>#REF!</v>
      </c>
      <c r="H131" s="79" t="e">
        <f t="shared" ref="H131:H134" si="32">ROUND(G131,0)</f>
        <v>#REF!</v>
      </c>
      <c r="I131" s="98">
        <v>1</v>
      </c>
      <c r="J131" s="101" t="e">
        <f>C131/H131</f>
        <v>#REF!</v>
      </c>
    </row>
    <row r="132" spans="1:14" x14ac:dyDescent="0.2">
      <c r="A132" s="96">
        <v>908</v>
      </c>
      <c r="B132" s="83" t="s">
        <v>41</v>
      </c>
      <c r="C132" s="92">
        <v>667.94579999999996</v>
      </c>
      <c r="D132" s="92">
        <v>771.00390000000004</v>
      </c>
      <c r="E132" s="79" t="e">
        <f>+D132*E138</f>
        <v>#REF!</v>
      </c>
      <c r="F132" s="79">
        <f>+D132*E170</f>
        <v>11.102175025852192</v>
      </c>
      <c r="G132" s="79" t="e">
        <f t="shared" si="31"/>
        <v>#REF!</v>
      </c>
      <c r="H132" s="79" t="e">
        <f t="shared" si="32"/>
        <v>#REF!</v>
      </c>
      <c r="I132" s="98">
        <v>1</v>
      </c>
      <c r="J132" s="101" t="e">
        <f t="shared" ref="J132:J134" si="33">C132/H132</f>
        <v>#REF!</v>
      </c>
    </row>
    <row r="133" spans="1:14" x14ac:dyDescent="0.2">
      <c r="A133" s="96">
        <v>909</v>
      </c>
      <c r="B133" s="78" t="s">
        <v>59</v>
      </c>
      <c r="C133" s="92">
        <v>831.95190000000002</v>
      </c>
      <c r="D133" s="92">
        <v>940.14750000000004</v>
      </c>
      <c r="E133" s="79" t="e">
        <f>+D133*E138</f>
        <v>#REF!</v>
      </c>
      <c r="F133" s="79">
        <f>+D133*E170</f>
        <v>13.537781190364113</v>
      </c>
      <c r="G133" s="79" t="e">
        <f t="shared" si="31"/>
        <v>#REF!</v>
      </c>
      <c r="H133" s="79" t="e">
        <f t="shared" si="32"/>
        <v>#REF!</v>
      </c>
      <c r="I133" s="98">
        <v>1</v>
      </c>
      <c r="J133" s="101" t="e">
        <f t="shared" si="33"/>
        <v>#REF!</v>
      </c>
    </row>
    <row r="134" spans="1:14" x14ac:dyDescent="0.2">
      <c r="A134" s="96">
        <v>910</v>
      </c>
      <c r="B134" s="83" t="s">
        <v>41</v>
      </c>
      <c r="C134" s="92">
        <v>667.94579999999996</v>
      </c>
      <c r="D134" s="92">
        <v>771.00390000000004</v>
      </c>
      <c r="E134" s="79" t="e">
        <f>+D134*E138</f>
        <v>#REF!</v>
      </c>
      <c r="F134" s="79">
        <f>+D134*E170</f>
        <v>11.102175025852192</v>
      </c>
      <c r="G134" s="79" t="e">
        <f t="shared" si="31"/>
        <v>#REF!</v>
      </c>
      <c r="H134" s="79" t="e">
        <f t="shared" si="32"/>
        <v>#REF!</v>
      </c>
      <c r="I134" s="98">
        <v>1</v>
      </c>
      <c r="J134" s="101" t="e">
        <f t="shared" si="33"/>
        <v>#REF!</v>
      </c>
      <c r="M134">
        <f>200*1000</f>
        <v>200000</v>
      </c>
    </row>
    <row r="135" spans="1:14" x14ac:dyDescent="0.2">
      <c r="A135" s="83" t="s">
        <v>87</v>
      </c>
      <c r="B135" s="84"/>
      <c r="C135" s="84"/>
      <c r="D135" s="85">
        <f>SUM(D125:D134)</f>
        <v>7122.7254999999996</v>
      </c>
      <c r="E135" s="88" t="e">
        <f>SUM(E125:E134)</f>
        <v>#REF!</v>
      </c>
      <c r="F135" s="85">
        <f>SUM(F125:F134)</f>
        <v>102.56465001292544</v>
      </c>
      <c r="G135" s="85" t="e">
        <f>SUM(G125:G134)</f>
        <v>#REF!</v>
      </c>
      <c r="H135" s="85" t="e">
        <f>SUM(H125:H134)</f>
        <v>#REF!</v>
      </c>
      <c r="I135" s="84"/>
      <c r="J135" s="102" t="e">
        <f>AVERAGE(J125:J134)</f>
        <v>#REF!</v>
      </c>
      <c r="M135">
        <f>+M134/469000</f>
        <v>0.42643923240938164</v>
      </c>
    </row>
    <row r="136" spans="1:14" x14ac:dyDescent="0.2">
      <c r="A136" s="80"/>
      <c r="D136" s="86"/>
      <c r="E136" s="95" t="e">
        <f>+E135+E120+E105+E90+E73+E56</f>
        <v>#REF!</v>
      </c>
      <c r="F136" s="86"/>
      <c r="G136" s="86"/>
      <c r="H136" s="86"/>
      <c r="J136" s="86"/>
    </row>
    <row r="137" spans="1:14" x14ac:dyDescent="0.2">
      <c r="A137" s="80"/>
      <c r="D137" s="86"/>
      <c r="E137" s="95"/>
      <c r="F137" s="86"/>
      <c r="G137" s="86"/>
      <c r="H137" s="86"/>
      <c r="J137" s="86"/>
    </row>
    <row r="138" spans="1:14" x14ac:dyDescent="0.2">
      <c r="B138" s="216" t="s">
        <v>82</v>
      </c>
      <c r="C138" s="216"/>
      <c r="D138" s="82" t="e">
        <f>+#REF!</f>
        <v>#REF!</v>
      </c>
      <c r="E138" s="217" t="e">
        <f>D138/D139</f>
        <v>#REF!</v>
      </c>
    </row>
    <row r="139" spans="1:14" x14ac:dyDescent="0.2">
      <c r="B139" s="218" t="s">
        <v>88</v>
      </c>
      <c r="C139" s="218"/>
      <c r="D139" s="81">
        <f>D135+D120+D105+D90+D73+D56</f>
        <v>166903.95799999996</v>
      </c>
      <c r="E139" s="217"/>
    </row>
    <row r="140" spans="1:14" ht="15" x14ac:dyDescent="0.25">
      <c r="A140" s="76" t="s">
        <v>89</v>
      </c>
    </row>
    <row r="141" spans="1:14" ht="15" customHeight="1" x14ac:dyDescent="0.25">
      <c r="A141" s="219" t="s">
        <v>78</v>
      </c>
      <c r="B141" s="219" t="s">
        <v>79</v>
      </c>
      <c r="C141" s="219" t="s">
        <v>80</v>
      </c>
      <c r="D141" s="219" t="s">
        <v>81</v>
      </c>
      <c r="E141" s="220" t="s">
        <v>82</v>
      </c>
      <c r="F141" s="220"/>
      <c r="G141" s="219" t="s">
        <v>83</v>
      </c>
      <c r="H141" s="215" t="s">
        <v>122</v>
      </c>
      <c r="I141" s="211" t="s">
        <v>84</v>
      </c>
      <c r="J141" s="219" t="s">
        <v>77</v>
      </c>
    </row>
    <row r="142" spans="1:14" ht="38.25" x14ac:dyDescent="0.2">
      <c r="A142" s="219"/>
      <c r="B142" s="219"/>
      <c r="C142" s="219"/>
      <c r="D142" s="219"/>
      <c r="E142" s="77" t="s">
        <v>85</v>
      </c>
      <c r="F142" s="77" t="s">
        <v>86</v>
      </c>
      <c r="G142" s="219"/>
      <c r="H142" s="212"/>
      <c r="I142" s="212"/>
      <c r="J142" s="219"/>
    </row>
    <row r="143" spans="1:14" x14ac:dyDescent="0.2">
      <c r="A143" s="78" t="s">
        <v>47</v>
      </c>
      <c r="B143" s="78" t="s">
        <v>59</v>
      </c>
      <c r="C143" s="93">
        <v>831.95190000000002</v>
      </c>
      <c r="D143" s="93">
        <v>941.40350000000001</v>
      </c>
      <c r="E143" s="79" t="e">
        <f>D143*E150</f>
        <v>#REF!</v>
      </c>
      <c r="F143" s="79">
        <f>D143*E170</f>
        <v>13.555867132383954</v>
      </c>
      <c r="G143" s="79" t="e">
        <f>SUM(D143:F143)</f>
        <v>#REF!</v>
      </c>
      <c r="H143" s="79" t="e">
        <f t="shared" ref="H143:H147" si="34">ROUND(G143,0)</f>
        <v>#REF!</v>
      </c>
      <c r="I143" s="98">
        <v>9</v>
      </c>
      <c r="J143" s="101" t="e">
        <f>C143/H143</f>
        <v>#REF!</v>
      </c>
      <c r="L143" s="90" t="s">
        <v>99</v>
      </c>
      <c r="M143" s="71" t="e">
        <f>C143/G143</f>
        <v>#REF!</v>
      </c>
      <c r="N143" s="91" t="e">
        <f>C143/G143</f>
        <v>#REF!</v>
      </c>
    </row>
    <row r="144" spans="1:14" x14ac:dyDescent="0.2">
      <c r="A144" s="78" t="s">
        <v>48</v>
      </c>
      <c r="B144" s="78" t="s">
        <v>41</v>
      </c>
      <c r="C144" s="93">
        <v>652.21019999999999</v>
      </c>
      <c r="D144" s="93">
        <v>755.2998</v>
      </c>
      <c r="E144" s="79" t="e">
        <f>D144*E150</f>
        <v>#REF!</v>
      </c>
      <c r="F144" s="79">
        <f>D144*E170</f>
        <v>10.876041712099193</v>
      </c>
      <c r="G144" s="79" t="e">
        <f>SUM(D144:F144)</f>
        <v>#REF!</v>
      </c>
      <c r="H144" s="79" t="e">
        <f t="shared" si="34"/>
        <v>#REF!</v>
      </c>
      <c r="I144" s="98">
        <v>9</v>
      </c>
      <c r="J144" s="101" t="e">
        <f t="shared" ref="J144:J147" si="35">C144/H144</f>
        <v>#REF!</v>
      </c>
      <c r="L144" s="90" t="s">
        <v>100</v>
      </c>
      <c r="M144" s="90">
        <f>+D143</f>
        <v>941.40350000000001</v>
      </c>
      <c r="N144" s="91"/>
    </row>
    <row r="145" spans="1:14" x14ac:dyDescent="0.2">
      <c r="A145" s="78" t="s">
        <v>49</v>
      </c>
      <c r="B145" s="78" t="s">
        <v>41</v>
      </c>
      <c r="C145" s="93">
        <v>664.50229999999999</v>
      </c>
      <c r="D145" s="93">
        <v>782.74770000000001</v>
      </c>
      <c r="E145" s="79" t="e">
        <f>D145*E150</f>
        <v>#REF!</v>
      </c>
      <c r="F145" s="79">
        <f>D145*E170</f>
        <v>11.271281463664767</v>
      </c>
      <c r="G145" s="79" t="e">
        <f>SUM(D145:F145)</f>
        <v>#REF!</v>
      </c>
      <c r="H145" s="79" t="e">
        <f t="shared" si="34"/>
        <v>#REF!</v>
      </c>
      <c r="I145" s="98">
        <v>9</v>
      </c>
      <c r="J145" s="101" t="e">
        <f t="shared" si="35"/>
        <v>#REF!</v>
      </c>
      <c r="L145" s="90" t="s">
        <v>101</v>
      </c>
      <c r="M145" s="90">
        <f>+M144-C143</f>
        <v>109.45159999999998</v>
      </c>
      <c r="N145" s="91" t="e">
        <f>M145/G143</f>
        <v>#REF!</v>
      </c>
    </row>
    <row r="146" spans="1:14" x14ac:dyDescent="0.2">
      <c r="A146" s="78" t="s">
        <v>50</v>
      </c>
      <c r="B146" s="78" t="s">
        <v>41</v>
      </c>
      <c r="C146" s="93">
        <v>652.20320000000004</v>
      </c>
      <c r="D146" s="93">
        <v>759.33540000000005</v>
      </c>
      <c r="E146" s="79" t="e">
        <f>D146*E150</f>
        <v>#REF!</v>
      </c>
      <c r="F146" s="79">
        <f>D146*E170</f>
        <v>10.934152880582685</v>
      </c>
      <c r="G146" s="79" t="e">
        <f>SUM(D146:F146)</f>
        <v>#REF!</v>
      </c>
      <c r="H146" s="79" t="e">
        <f t="shared" si="34"/>
        <v>#REF!</v>
      </c>
      <c r="I146" s="98">
        <v>9</v>
      </c>
      <c r="J146" s="101" t="e">
        <f t="shared" si="35"/>
        <v>#REF!</v>
      </c>
      <c r="L146" s="90" t="s">
        <v>82</v>
      </c>
      <c r="M146" s="90" t="e">
        <f>+E143+F143</f>
        <v>#REF!</v>
      </c>
      <c r="N146" s="91" t="e">
        <f>+M146/G143</f>
        <v>#REF!</v>
      </c>
    </row>
    <row r="147" spans="1:14" x14ac:dyDescent="0.2">
      <c r="A147" s="78" t="s">
        <v>51</v>
      </c>
      <c r="B147" s="78" t="s">
        <v>38</v>
      </c>
      <c r="C147" s="93">
        <v>955.56330000000003</v>
      </c>
      <c r="D147" s="93">
        <v>1084.5052000000001</v>
      </c>
      <c r="E147" s="79" t="e">
        <f>D147*E150</f>
        <v>#REF!</v>
      </c>
      <c r="F147" s="79">
        <f>D147*E170</f>
        <v>15.616479432655058</v>
      </c>
      <c r="G147" s="79" t="e">
        <f>SUM(D147:F147)</f>
        <v>#REF!</v>
      </c>
      <c r="H147" s="79" t="e">
        <f t="shared" si="34"/>
        <v>#REF!</v>
      </c>
      <c r="I147" s="98">
        <v>9</v>
      </c>
      <c r="J147" s="101" t="e">
        <f t="shared" si="35"/>
        <v>#REF!</v>
      </c>
      <c r="N147" s="91" t="e">
        <f>SUM(N143:N146)</f>
        <v>#REF!</v>
      </c>
    </row>
    <row r="148" spans="1:14" x14ac:dyDescent="0.2">
      <c r="A148" s="83" t="s">
        <v>87</v>
      </c>
      <c r="B148" s="84"/>
      <c r="C148" s="84"/>
      <c r="D148" s="85">
        <f>SUM(D143:D147)*9</f>
        <v>38909.624400000001</v>
      </c>
      <c r="E148" s="85" t="e">
        <f>SUM(E143:E147)*9</f>
        <v>#REF!</v>
      </c>
      <c r="F148" s="85">
        <f>SUM(F143:F147)*9</f>
        <v>560.28440359247088</v>
      </c>
      <c r="G148" s="85" t="e">
        <f>SUM(G143:G147)*9</f>
        <v>#REF!</v>
      </c>
      <c r="H148" s="85" t="e">
        <f>SUM(H143:H147)*9</f>
        <v>#REF!</v>
      </c>
      <c r="I148" s="84"/>
      <c r="J148" s="102" t="e">
        <f>AVERAGE(J143:J147)</f>
        <v>#REF!</v>
      </c>
      <c r="L148" s="94"/>
    </row>
    <row r="149" spans="1:14" x14ac:dyDescent="0.2">
      <c r="A149" s="80"/>
      <c r="D149" s="86"/>
      <c r="E149" s="86"/>
      <c r="F149" s="86"/>
      <c r="G149" s="86"/>
      <c r="H149" s="86"/>
      <c r="J149" s="86"/>
      <c r="L149" s="94"/>
    </row>
    <row r="150" spans="1:14" x14ac:dyDescent="0.2">
      <c r="A150" s="80"/>
      <c r="B150" s="216" t="s">
        <v>82</v>
      </c>
      <c r="C150" s="216"/>
      <c r="D150" s="87" t="e">
        <f>+#REF!</f>
        <v>#REF!</v>
      </c>
      <c r="E150" s="217" t="e">
        <f>D150/D151</f>
        <v>#REF!</v>
      </c>
      <c r="J150" s="86"/>
    </row>
    <row r="151" spans="1:14" x14ac:dyDescent="0.2">
      <c r="A151" s="80"/>
      <c r="B151" s="218" t="s">
        <v>88</v>
      </c>
      <c r="C151" s="218"/>
      <c r="D151" s="86">
        <f>D148</f>
        <v>38909.624400000001</v>
      </c>
      <c r="E151" s="217"/>
      <c r="J151" s="86"/>
    </row>
    <row r="152" spans="1:14" ht="15" x14ac:dyDescent="0.25">
      <c r="A152" s="76" t="s">
        <v>102</v>
      </c>
    </row>
    <row r="153" spans="1:14" ht="15" customHeight="1" x14ac:dyDescent="0.25">
      <c r="A153" s="219" t="s">
        <v>78</v>
      </c>
      <c r="B153" s="219" t="s">
        <v>79</v>
      </c>
      <c r="C153" s="219" t="s">
        <v>80</v>
      </c>
      <c r="D153" s="219" t="s">
        <v>81</v>
      </c>
      <c r="E153" s="220" t="s">
        <v>82</v>
      </c>
      <c r="F153" s="220"/>
      <c r="G153" s="219" t="s">
        <v>83</v>
      </c>
      <c r="H153" s="215" t="s">
        <v>122</v>
      </c>
      <c r="I153" s="211" t="s">
        <v>84</v>
      </c>
      <c r="J153" s="219" t="s">
        <v>77</v>
      </c>
    </row>
    <row r="154" spans="1:14" ht="38.25" x14ac:dyDescent="0.2">
      <c r="A154" s="219"/>
      <c r="B154" s="219"/>
      <c r="C154" s="219"/>
      <c r="D154" s="219"/>
      <c r="E154" s="77" t="s">
        <v>85</v>
      </c>
      <c r="F154" s="77" t="s">
        <v>86</v>
      </c>
      <c r="G154" s="219"/>
      <c r="H154" s="212"/>
      <c r="I154" s="212"/>
      <c r="J154" s="219"/>
    </row>
    <row r="155" spans="1:14" x14ac:dyDescent="0.2">
      <c r="A155" s="78" t="s">
        <v>47</v>
      </c>
      <c r="B155" s="78" t="s">
        <v>69</v>
      </c>
      <c r="C155" s="93">
        <v>410.61380000000003</v>
      </c>
      <c r="D155" s="93">
        <v>484.88639999999998</v>
      </c>
      <c r="E155" s="79" t="e">
        <f>D155*E167</f>
        <v>#REF!</v>
      </c>
      <c r="F155" s="79">
        <f>D155*E170</f>
        <v>6.982187353987932</v>
      </c>
      <c r="G155" s="79" t="e">
        <f t="shared" ref="G155:G164" si="36">SUM(D155:F155)</f>
        <v>#REF!</v>
      </c>
      <c r="H155" s="79" t="e">
        <f t="shared" ref="H155:H164" si="37">ROUND(G155,0)</f>
        <v>#REF!</v>
      </c>
      <c r="I155" s="98">
        <v>9</v>
      </c>
      <c r="J155" s="101" t="e">
        <f>C155/H155</f>
        <v>#REF!</v>
      </c>
    </row>
    <row r="156" spans="1:14" x14ac:dyDescent="0.2">
      <c r="A156" s="78" t="s">
        <v>48</v>
      </c>
      <c r="B156" s="78" t="s">
        <v>69</v>
      </c>
      <c r="C156" s="93">
        <v>410.61380000000003</v>
      </c>
      <c r="D156" s="93">
        <v>481.2808</v>
      </c>
      <c r="E156" s="79" t="e">
        <f>+D156*E167</f>
        <v>#REF!</v>
      </c>
      <c r="F156" s="79">
        <f>D156*E170</f>
        <v>6.9302680287118701</v>
      </c>
      <c r="G156" s="79" t="e">
        <f t="shared" si="36"/>
        <v>#REF!</v>
      </c>
      <c r="H156" s="79" t="e">
        <f t="shared" si="37"/>
        <v>#REF!</v>
      </c>
      <c r="I156" s="98">
        <v>9</v>
      </c>
      <c r="J156" s="101" t="e">
        <f t="shared" ref="J156:J164" si="38">C156/H156</f>
        <v>#REF!</v>
      </c>
    </row>
    <row r="157" spans="1:14" x14ac:dyDescent="0.2">
      <c r="A157" s="78" t="s">
        <v>49</v>
      </c>
      <c r="B157" s="78" t="s">
        <v>69</v>
      </c>
      <c r="C157" s="93">
        <v>410.61380000000003</v>
      </c>
      <c r="D157" s="93">
        <v>481.2808</v>
      </c>
      <c r="E157" s="79" t="e">
        <f>+D157*E167</f>
        <v>#REF!</v>
      </c>
      <c r="F157" s="79">
        <f>D157*E170</f>
        <v>6.9302680287118701</v>
      </c>
      <c r="G157" s="79" t="e">
        <f t="shared" si="36"/>
        <v>#REF!</v>
      </c>
      <c r="H157" s="79" t="e">
        <f t="shared" si="37"/>
        <v>#REF!</v>
      </c>
      <c r="I157" s="98">
        <v>9</v>
      </c>
      <c r="J157" s="101" t="e">
        <f t="shared" si="38"/>
        <v>#REF!</v>
      </c>
    </row>
    <row r="158" spans="1:14" x14ac:dyDescent="0.2">
      <c r="A158" s="78" t="s">
        <v>50</v>
      </c>
      <c r="B158" s="78" t="s">
        <v>69</v>
      </c>
      <c r="C158" s="93">
        <v>410.61380000000003</v>
      </c>
      <c r="D158" s="93">
        <v>481.2808</v>
      </c>
      <c r="E158" s="79" t="e">
        <f>+D158*E167</f>
        <v>#REF!</v>
      </c>
      <c r="F158" s="79">
        <f>D158*E170</f>
        <v>6.9302680287118701</v>
      </c>
      <c r="G158" s="79" t="e">
        <f t="shared" si="36"/>
        <v>#REF!</v>
      </c>
      <c r="H158" s="79" t="e">
        <f t="shared" si="37"/>
        <v>#REF!</v>
      </c>
      <c r="I158" s="98">
        <v>9</v>
      </c>
      <c r="J158" s="101" t="e">
        <f t="shared" si="38"/>
        <v>#REF!</v>
      </c>
    </row>
    <row r="159" spans="1:14" x14ac:dyDescent="0.2">
      <c r="A159" s="78" t="s">
        <v>51</v>
      </c>
      <c r="B159" s="78" t="s">
        <v>69</v>
      </c>
      <c r="C159" s="93">
        <v>410.61380000000003</v>
      </c>
      <c r="D159" s="93">
        <v>484.67110000000002</v>
      </c>
      <c r="E159" s="79" t="e">
        <f>D159*E167</f>
        <v>#REF!</v>
      </c>
      <c r="F159" s="79">
        <f>D159*E170</f>
        <v>6.979087112493608</v>
      </c>
      <c r="G159" s="79" t="e">
        <f t="shared" si="36"/>
        <v>#REF!</v>
      </c>
      <c r="H159" s="79" t="e">
        <f t="shared" si="37"/>
        <v>#REF!</v>
      </c>
      <c r="I159" s="98">
        <v>9</v>
      </c>
      <c r="J159" s="101" t="e">
        <f t="shared" si="38"/>
        <v>#REF!</v>
      </c>
      <c r="L159" s="73"/>
      <c r="M159" s="73"/>
    </row>
    <row r="160" spans="1:14" x14ac:dyDescent="0.2">
      <c r="A160" s="78" t="s">
        <v>52</v>
      </c>
      <c r="B160" s="78" t="s">
        <v>69</v>
      </c>
      <c r="C160" s="93">
        <v>410.59129999999999</v>
      </c>
      <c r="D160" s="93">
        <v>484.88639999999998</v>
      </c>
      <c r="E160" s="79" t="e">
        <f>D160*E167</f>
        <v>#REF!</v>
      </c>
      <c r="F160" s="79">
        <f>D160*E170</f>
        <v>6.982187353987932</v>
      </c>
      <c r="G160" s="79" t="e">
        <f t="shared" si="36"/>
        <v>#REF!</v>
      </c>
      <c r="H160" s="79" t="e">
        <f t="shared" si="37"/>
        <v>#REF!</v>
      </c>
      <c r="I160" s="98">
        <v>9</v>
      </c>
      <c r="J160" s="101" t="e">
        <f t="shared" si="38"/>
        <v>#REF!</v>
      </c>
    </row>
    <row r="161" spans="1:13" x14ac:dyDescent="0.2">
      <c r="A161" s="78" t="s">
        <v>53</v>
      </c>
      <c r="B161" s="78" t="s">
        <v>69</v>
      </c>
      <c r="C161" s="93">
        <v>410.59129999999999</v>
      </c>
      <c r="D161" s="93">
        <v>481.28050000000002</v>
      </c>
      <c r="E161" s="79" t="e">
        <f>D161*E167</f>
        <v>#REF!</v>
      </c>
      <c r="F161" s="79">
        <f>D161*E170</f>
        <v>6.9302637088212604</v>
      </c>
      <c r="G161" s="79" t="e">
        <f t="shared" si="36"/>
        <v>#REF!</v>
      </c>
      <c r="H161" s="79" t="e">
        <f t="shared" si="37"/>
        <v>#REF!</v>
      </c>
      <c r="I161" s="98">
        <v>9</v>
      </c>
      <c r="J161" s="101" t="e">
        <f t="shared" si="38"/>
        <v>#REF!</v>
      </c>
    </row>
    <row r="162" spans="1:13" x14ac:dyDescent="0.2">
      <c r="A162" s="78" t="s">
        <v>54</v>
      </c>
      <c r="B162" s="78" t="s">
        <v>69</v>
      </c>
      <c r="C162" s="93">
        <v>410.59129999999999</v>
      </c>
      <c r="D162" s="93">
        <v>481.28050000000002</v>
      </c>
      <c r="E162" s="79" t="e">
        <f>D162*E167</f>
        <v>#REF!</v>
      </c>
      <c r="F162" s="79">
        <f>D162*E170</f>
        <v>6.9302637088212604</v>
      </c>
      <c r="G162" s="79" t="e">
        <f t="shared" si="36"/>
        <v>#REF!</v>
      </c>
      <c r="H162" s="79" t="e">
        <f t="shared" si="37"/>
        <v>#REF!</v>
      </c>
      <c r="I162" s="98">
        <v>9</v>
      </c>
      <c r="J162" s="101" t="e">
        <f t="shared" si="38"/>
        <v>#REF!</v>
      </c>
      <c r="L162" s="72"/>
    </row>
    <row r="163" spans="1:13" x14ac:dyDescent="0.2">
      <c r="A163" s="78" t="s">
        <v>55</v>
      </c>
      <c r="B163" s="78" t="s">
        <v>69</v>
      </c>
      <c r="C163" s="93">
        <v>410.59129999999999</v>
      </c>
      <c r="D163" s="93">
        <v>481.28050000000002</v>
      </c>
      <c r="E163" s="79" t="e">
        <f>+D163*E167</f>
        <v>#REF!</v>
      </c>
      <c r="F163" s="79">
        <f>D163*E170</f>
        <v>6.9302637088212604</v>
      </c>
      <c r="G163" s="79" t="e">
        <f t="shared" si="36"/>
        <v>#REF!</v>
      </c>
      <c r="H163" s="79" t="e">
        <f t="shared" si="37"/>
        <v>#REF!</v>
      </c>
      <c r="I163" s="98">
        <v>9</v>
      </c>
      <c r="J163" s="101" t="e">
        <f t="shared" si="38"/>
        <v>#REF!</v>
      </c>
    </row>
    <row r="164" spans="1:13" x14ac:dyDescent="0.2">
      <c r="A164" s="78" t="s">
        <v>56</v>
      </c>
      <c r="B164" s="78" t="s">
        <v>69</v>
      </c>
      <c r="C164" s="93">
        <v>410.59129999999999</v>
      </c>
      <c r="D164" s="93">
        <v>484.6712</v>
      </c>
      <c r="E164" s="78" t="e">
        <f>+D164*E167</f>
        <v>#REF!</v>
      </c>
      <c r="F164" s="79">
        <f>D164*E170</f>
        <v>6.979088552457144</v>
      </c>
      <c r="G164" s="79" t="e">
        <f t="shared" si="36"/>
        <v>#REF!</v>
      </c>
      <c r="H164" s="79" t="e">
        <f t="shared" si="37"/>
        <v>#REF!</v>
      </c>
      <c r="I164" s="98">
        <v>9</v>
      </c>
      <c r="J164" s="101" t="e">
        <f t="shared" si="38"/>
        <v>#REF!</v>
      </c>
    </row>
    <row r="165" spans="1:13" x14ac:dyDescent="0.2">
      <c r="A165" s="83" t="s">
        <v>87</v>
      </c>
      <c r="B165" s="84"/>
      <c r="C165" s="84"/>
      <c r="D165" s="85">
        <f>SUM(D155:D164)*9</f>
        <v>43441.190999999992</v>
      </c>
      <c r="E165" s="88" t="e">
        <f>SUM(E155:E164)*9</f>
        <v>#REF!</v>
      </c>
      <c r="F165" s="85">
        <f>SUM(F155:F164)*9</f>
        <v>625.53731026973401</v>
      </c>
      <c r="G165" s="85" t="e">
        <f>SUM(G155:G164)*9</f>
        <v>#REF!</v>
      </c>
      <c r="H165" s="85" t="e">
        <f>SUM(H155:H164)*9</f>
        <v>#REF!</v>
      </c>
      <c r="I165" s="84"/>
      <c r="J165" s="102" t="e">
        <f>AVERAGE(J155:J164)</f>
        <v>#REF!</v>
      </c>
      <c r="M165" s="90" t="e">
        <f>+G165+G148</f>
        <v>#REF!</v>
      </c>
    </row>
    <row r="166" spans="1:13" x14ac:dyDescent="0.2">
      <c r="F166" s="86">
        <f>F165+F148+F135+F120+F105+F90+F73+F56+F36+F17</f>
        <v>6061.1034000000009</v>
      </c>
    </row>
    <row r="167" spans="1:13" ht="15.75" customHeight="1" x14ac:dyDescent="0.2">
      <c r="B167" s="216" t="s">
        <v>82</v>
      </c>
      <c r="C167" s="216"/>
      <c r="D167" s="82" t="e">
        <f>+#REF!</f>
        <v>#REF!</v>
      </c>
      <c r="E167" s="217" t="e">
        <f>D167/D168</f>
        <v>#REF!</v>
      </c>
    </row>
    <row r="168" spans="1:13" x14ac:dyDescent="0.2">
      <c r="B168" s="218" t="s">
        <v>88</v>
      </c>
      <c r="C168" s="218"/>
      <c r="D168" s="81">
        <f>D165</f>
        <v>43441.190999999992</v>
      </c>
      <c r="E168" s="217"/>
    </row>
    <row r="170" spans="1:13" x14ac:dyDescent="0.2">
      <c r="B170" s="222" t="s">
        <v>95</v>
      </c>
      <c r="C170" s="222"/>
      <c r="D170" s="89">
        <f>(4861.1034+1200)</f>
        <v>6061.1034</v>
      </c>
      <c r="E170" s="221">
        <f>D170/D171</f>
        <v>1.439963536611448E-2</v>
      </c>
    </row>
    <row r="171" spans="1:13" x14ac:dyDescent="0.2">
      <c r="B171" s="218" t="s">
        <v>96</v>
      </c>
      <c r="C171" s="218"/>
      <c r="D171" s="71">
        <f>D165+D148+D135+D120+D105+D90+D73+D56+D36+D17</f>
        <v>420920.61679999996</v>
      </c>
      <c r="E171" s="221"/>
    </row>
    <row r="172" spans="1:13" ht="13.5" thickBot="1" x14ac:dyDescent="0.25"/>
    <row r="173" spans="1:13" ht="28.5" customHeight="1" thickBot="1" x14ac:dyDescent="0.25">
      <c r="B173" s="103" t="s">
        <v>97</v>
      </c>
      <c r="C173" s="104"/>
      <c r="D173" s="104"/>
      <c r="E173" s="105" t="e">
        <f>+G165+G148+G135+G120+G105+G90+G73+G56+G36+G17</f>
        <v>#REF!</v>
      </c>
      <c r="F173" s="106" t="e">
        <f>+H165+H148+H135+H120+H105+H90+H73+H56+H36+H17</f>
        <v>#REF!</v>
      </c>
      <c r="G173" s="71"/>
      <c r="H173" s="71"/>
    </row>
    <row r="174" spans="1:13" x14ac:dyDescent="0.2">
      <c r="G174" s="81"/>
      <c r="H174" s="81"/>
    </row>
    <row r="178" spans="6:12" x14ac:dyDescent="0.2">
      <c r="F178" s="90"/>
    </row>
    <row r="179" spans="6:12" x14ac:dyDescent="0.2">
      <c r="L179" s="90"/>
    </row>
  </sheetData>
  <mergeCells count="106">
    <mergeCell ref="I153:I154"/>
    <mergeCell ref="J153:J154"/>
    <mergeCell ref="B167:C167"/>
    <mergeCell ref="E167:E168"/>
    <mergeCell ref="B168:C168"/>
    <mergeCell ref="E170:E171"/>
    <mergeCell ref="I141:I142"/>
    <mergeCell ref="J141:J142"/>
    <mergeCell ref="B150:C150"/>
    <mergeCell ref="E150:E151"/>
    <mergeCell ref="B151:C151"/>
    <mergeCell ref="G141:G142"/>
    <mergeCell ref="H141:H142"/>
    <mergeCell ref="H153:H154"/>
    <mergeCell ref="B170:C170"/>
    <mergeCell ref="B171:C171"/>
    <mergeCell ref="G153:G154"/>
    <mergeCell ref="A153:A154"/>
    <mergeCell ref="B153:B154"/>
    <mergeCell ref="C153:C154"/>
    <mergeCell ref="D153:D154"/>
    <mergeCell ref="E153:F153"/>
    <mergeCell ref="A141:A142"/>
    <mergeCell ref="B141:B142"/>
    <mergeCell ref="C141:C142"/>
    <mergeCell ref="D141:D142"/>
    <mergeCell ref="E141:F141"/>
    <mergeCell ref="B138:C138"/>
    <mergeCell ref="E138:E139"/>
    <mergeCell ref="B139:C139"/>
    <mergeCell ref="G42:G43"/>
    <mergeCell ref="G59:G60"/>
    <mergeCell ref="I59:I60"/>
    <mergeCell ref="J59:J60"/>
    <mergeCell ref="G76:G77"/>
    <mergeCell ref="I76:I77"/>
    <mergeCell ref="J76:J77"/>
    <mergeCell ref="G93:G94"/>
    <mergeCell ref="I93:I94"/>
    <mergeCell ref="J93:J94"/>
    <mergeCell ref="G108:G109"/>
    <mergeCell ref="H123:H124"/>
    <mergeCell ref="H42:H43"/>
    <mergeCell ref="H59:H60"/>
    <mergeCell ref="H76:H77"/>
    <mergeCell ref="H93:H94"/>
    <mergeCell ref="A42:A43"/>
    <mergeCell ref="B42:B43"/>
    <mergeCell ref="C42:C43"/>
    <mergeCell ref="D42:D43"/>
    <mergeCell ref="E42:F42"/>
    <mergeCell ref="G22:G23"/>
    <mergeCell ref="I22:I23"/>
    <mergeCell ref="J22:J23"/>
    <mergeCell ref="B38:C38"/>
    <mergeCell ref="E38:E39"/>
    <mergeCell ref="B39:C39"/>
    <mergeCell ref="I42:I43"/>
    <mergeCell ref="J42:J43"/>
    <mergeCell ref="I3:I4"/>
    <mergeCell ref="J3:J4"/>
    <mergeCell ref="B19:C19"/>
    <mergeCell ref="E19:E20"/>
    <mergeCell ref="B20:C20"/>
    <mergeCell ref="G3:G4"/>
    <mergeCell ref="A22:A23"/>
    <mergeCell ref="B22:B23"/>
    <mergeCell ref="C22:C23"/>
    <mergeCell ref="D22:D23"/>
    <mergeCell ref="E22:F22"/>
    <mergeCell ref="A3:A4"/>
    <mergeCell ref="B3:B4"/>
    <mergeCell ref="C3:C4"/>
    <mergeCell ref="D3:D4"/>
    <mergeCell ref="E3:F3"/>
    <mergeCell ref="A59:A60"/>
    <mergeCell ref="B59:B60"/>
    <mergeCell ref="C59:C60"/>
    <mergeCell ref="D59:D60"/>
    <mergeCell ref="E59:F59"/>
    <mergeCell ref="A76:A77"/>
    <mergeCell ref="B76:B77"/>
    <mergeCell ref="C76:C77"/>
    <mergeCell ref="D76:D77"/>
    <mergeCell ref="E76:F76"/>
    <mergeCell ref="A93:A94"/>
    <mergeCell ref="B93:B94"/>
    <mergeCell ref="C93:C94"/>
    <mergeCell ref="D93:D94"/>
    <mergeCell ref="E93:F93"/>
    <mergeCell ref="I108:I109"/>
    <mergeCell ref="J108:J109"/>
    <mergeCell ref="A123:A124"/>
    <mergeCell ref="B123:B124"/>
    <mergeCell ref="C123:C124"/>
    <mergeCell ref="D123:D124"/>
    <mergeCell ref="E123:F123"/>
    <mergeCell ref="G123:G124"/>
    <mergeCell ref="I123:I124"/>
    <mergeCell ref="J123:J124"/>
    <mergeCell ref="A108:A109"/>
    <mergeCell ref="B108:B109"/>
    <mergeCell ref="C108:C109"/>
    <mergeCell ref="D108:D109"/>
    <mergeCell ref="E108:F108"/>
    <mergeCell ref="H108:H109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Area</vt:lpstr>
      <vt:lpstr>RERA </vt:lpstr>
      <vt:lpstr>Area Statement Opt-A2 with pool</vt:lpstr>
      <vt:lpstr>Excel_BuiltIn__FilterDatabase_1</vt:lpstr>
      <vt:lpstr>'Area Statement Opt-A2 with pool'!Print_Area</vt:lpstr>
      <vt:lpstr>'RERA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Accounts</cp:lastModifiedBy>
  <cp:lastPrinted>2026-06-04T05:56:53Z</cp:lastPrinted>
  <dcterms:created xsi:type="dcterms:W3CDTF">2015-12-21T05:28:16Z</dcterms:created>
  <dcterms:modified xsi:type="dcterms:W3CDTF">2026-06-04T08:29:26Z</dcterms:modified>
</cp:coreProperties>
</file>